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jderoin\Community\Rotary\District Membership Committee\Governor\Visioning\Tools for Website\"/>
    </mc:Choice>
  </mc:AlternateContent>
  <xr:revisionPtr revIDLastSave="0" documentId="13_ncr:1_{3AB6A715-2EF4-47C6-AD8A-9D3722CEF3FF}" xr6:coauthVersionLast="40" xr6:coauthVersionMax="40" xr10:uidLastSave="{00000000-0000-0000-0000-000000000000}"/>
  <bookViews>
    <workbookView xWindow="-120" yWindow="-120" windowWidth="29040" windowHeight="15840" tabRatio="914" xr2:uid="{00000000-000D-0000-FFFF-FFFF00000000}"/>
  </bookViews>
  <sheets>
    <sheet name="Strategic Summary" sheetId="1" r:id="rId1"/>
    <sheet name="DV-IDENTITY-0" sheetId="2" state="hidden" r:id="rId2"/>
    <sheet name="TAP 1.1" sheetId="14" r:id="rId3"/>
    <sheet name="TAP 1.2" sheetId="15" r:id="rId4"/>
    <sheet name="TAP 1.3" sheetId="16" r:id="rId5"/>
    <sheet name="TAP 2.1" sheetId="17" r:id="rId6"/>
    <sheet name="TAP 2.2" sheetId="18" r:id="rId7"/>
    <sheet name="TAP 2.3" sheetId="19" r:id="rId8"/>
    <sheet name="TAP 3.1" sheetId="20" r:id="rId9"/>
    <sheet name="TAP 3.2" sheetId="41" r:id="rId10"/>
    <sheet name="TAP 3.3" sheetId="42" r:id="rId11"/>
    <sheet name="TAP 4.1" sheetId="21" r:id="rId12"/>
    <sheet name="TAP 4.2" sheetId="22" r:id="rId13"/>
    <sheet name="TAP 4.3" sheetId="23" r:id="rId14"/>
    <sheet name="TAP 5.1" sheetId="24" r:id="rId15"/>
    <sheet name="TAP 5.2" sheetId="26" r:id="rId16"/>
    <sheet name="TAP 5.3" sheetId="27" r:id="rId17"/>
    <sheet name="TAP 6.1" sheetId="28" r:id="rId18"/>
    <sheet name="TAP 6.2" sheetId="29" r:id="rId19"/>
    <sheet name="TAP 6.3" sheetId="30" r:id="rId20"/>
    <sheet name="Tap Template" sheetId="13" r:id="rId21"/>
    <sheet name="Sheet30" sheetId="43" r:id="rId22"/>
  </sheets>
  <definedNames>
    <definedName name="_xlnm.Print_Area" localSheetId="0">'Strategic Summary'!$A$2:$N$38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J4" i="2" l="1"/>
  <c r="FI4" i="2"/>
  <c r="FH4" i="2"/>
  <c r="FG4" i="2"/>
  <c r="FF4" i="2"/>
  <c r="FE4" i="2"/>
  <c r="FD4" i="2"/>
  <c r="FC4" i="2"/>
  <c r="FB4" i="2"/>
  <c r="FA4" i="2"/>
  <c r="EZ4" i="2"/>
  <c r="EY4" i="2"/>
  <c r="EX4" i="2"/>
  <c r="EW4" i="2"/>
  <c r="EV4" i="2"/>
  <c r="EU4" i="2"/>
  <c r="ET4" i="2"/>
  <c r="ES4" i="2"/>
  <c r="ER4" i="2"/>
  <c r="EQ4" i="2"/>
  <c r="EP4" i="2"/>
  <c r="EO4" i="2"/>
  <c r="EN4" i="2"/>
  <c r="EM4" i="2"/>
  <c r="EL4" i="2"/>
  <c r="EK4" i="2"/>
  <c r="EJ4" i="2"/>
  <c r="EI4" i="2"/>
  <c r="EH4" i="2"/>
  <c r="EG4" i="2"/>
  <c r="EF4" i="2"/>
  <c r="EE4" i="2"/>
  <c r="ED4" i="2"/>
  <c r="EC4" i="2"/>
  <c r="EB4" i="2"/>
  <c r="EA4" i="2"/>
  <c r="DZ4" i="2"/>
  <c r="DY4" i="2"/>
  <c r="DX4" i="2"/>
  <c r="DW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  <c r="IV3" i="2"/>
  <c r="IU3" i="2"/>
  <c r="IT3" i="2"/>
  <c r="IS3" i="2"/>
  <c r="IR3" i="2"/>
  <c r="IQ3" i="2"/>
  <c r="IP3" i="2"/>
  <c r="IO3" i="2"/>
  <c r="IN3" i="2"/>
  <c r="IM3" i="2"/>
  <c r="IL3" i="2"/>
  <c r="IK3" i="2"/>
  <c r="IJ3" i="2"/>
  <c r="II3" i="2"/>
  <c r="IH3" i="2"/>
  <c r="IG3" i="2"/>
  <c r="IF3" i="2"/>
  <c r="IE3" i="2"/>
  <c r="ID3" i="2"/>
  <c r="IC3" i="2"/>
  <c r="IB3" i="2"/>
  <c r="IA3" i="2"/>
  <c r="HZ3" i="2"/>
  <c r="HY3" i="2"/>
  <c r="HX3" i="2"/>
  <c r="HW3" i="2"/>
  <c r="HV3" i="2"/>
  <c r="HU3" i="2"/>
  <c r="HT3" i="2"/>
  <c r="HS3" i="2"/>
  <c r="HR3" i="2"/>
  <c r="HQ3" i="2"/>
  <c r="HP3" i="2"/>
  <c r="HO3" i="2"/>
  <c r="HN3" i="2"/>
  <c r="HM3" i="2"/>
  <c r="HL3" i="2"/>
  <c r="HK3" i="2"/>
  <c r="HJ3" i="2"/>
  <c r="HI3" i="2"/>
  <c r="HH3" i="2"/>
  <c r="HG3" i="2"/>
  <c r="H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IV2" i="2"/>
  <c r="IU2" i="2"/>
  <c r="IT2" i="2"/>
  <c r="IS2" i="2"/>
  <c r="IR2" i="2"/>
  <c r="IQ2" i="2"/>
  <c r="IP2" i="2"/>
  <c r="IO2" i="2"/>
  <c r="IN2" i="2"/>
  <c r="IM2" i="2"/>
  <c r="IL2" i="2"/>
  <c r="IK2" i="2"/>
  <c r="IJ2" i="2"/>
  <c r="II2" i="2"/>
  <c r="IH2" i="2"/>
  <c r="IG2" i="2"/>
  <c r="IF2" i="2"/>
  <c r="IE2" i="2"/>
  <c r="ID2" i="2"/>
  <c r="IC2" i="2"/>
  <c r="IB2" i="2"/>
  <c r="IA2" i="2"/>
  <c r="HZ2" i="2"/>
  <c r="HY2" i="2"/>
  <c r="HX2" i="2"/>
  <c r="HW2" i="2"/>
  <c r="HV2" i="2"/>
  <c r="HU2" i="2"/>
  <c r="HT2" i="2"/>
  <c r="HS2" i="2"/>
  <c r="HR2" i="2"/>
  <c r="HQ2" i="2"/>
  <c r="HP2" i="2"/>
  <c r="HO2" i="2"/>
  <c r="HN2" i="2"/>
  <c r="HM2" i="2"/>
  <c r="HL2" i="2"/>
  <c r="HK2" i="2"/>
  <c r="HJ2" i="2"/>
  <c r="HI2" i="2"/>
  <c r="HH2" i="2"/>
  <c r="HG2" i="2"/>
  <c r="HF2" i="2"/>
  <c r="HE2" i="2"/>
  <c r="HD2" i="2"/>
  <c r="HC2" i="2"/>
  <c r="HB2" i="2"/>
  <c r="HA2" i="2"/>
  <c r="GZ2" i="2"/>
  <c r="GY2" i="2"/>
  <c r="GX2" i="2"/>
  <c r="GW2" i="2"/>
  <c r="GV2" i="2"/>
  <c r="GU2" i="2"/>
  <c r="GT2" i="2"/>
  <c r="GS2" i="2"/>
  <c r="GR2" i="2"/>
  <c r="GQ2" i="2"/>
  <c r="GP2" i="2"/>
  <c r="GO2" i="2"/>
  <c r="GN2" i="2"/>
  <c r="GM2" i="2"/>
  <c r="GL2" i="2"/>
  <c r="GK2" i="2"/>
  <c r="GJ2" i="2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IV1" i="2"/>
  <c r="IU1" i="2"/>
  <c r="IT1" i="2"/>
  <c r="IS1" i="2"/>
  <c r="IR1" i="2"/>
  <c r="IQ1" i="2"/>
  <c r="IP1" i="2"/>
  <c r="IO1" i="2"/>
  <c r="IN1" i="2"/>
  <c r="IM1" i="2"/>
  <c r="IL1" i="2"/>
  <c r="IK1" i="2"/>
  <c r="IJ1" i="2"/>
  <c r="II1" i="2"/>
  <c r="IH1" i="2"/>
  <c r="IG1" i="2"/>
  <c r="IF1" i="2"/>
  <c r="IE1" i="2"/>
  <c r="ID1" i="2"/>
  <c r="IC1" i="2"/>
  <c r="IB1" i="2"/>
  <c r="IA1" i="2"/>
  <c r="HZ1" i="2"/>
  <c r="HY1" i="2"/>
  <c r="HX1" i="2"/>
  <c r="HW1" i="2"/>
  <c r="HV1" i="2"/>
  <c r="HU1" i="2"/>
  <c r="HT1" i="2"/>
  <c r="HS1" i="2"/>
  <c r="HR1" i="2"/>
  <c r="HQ1" i="2"/>
  <c r="HP1" i="2"/>
  <c r="HO1" i="2"/>
  <c r="HN1" i="2"/>
  <c r="HM1" i="2"/>
  <c r="HL1" i="2"/>
  <c r="HK1" i="2"/>
  <c r="HJ1" i="2"/>
  <c r="HI1" i="2"/>
  <c r="HH1" i="2"/>
  <c r="HG1" i="2"/>
  <c r="HF1" i="2"/>
  <c r="HE1" i="2"/>
  <c r="HD1" i="2"/>
  <c r="HC1" i="2"/>
  <c r="HB1" i="2"/>
  <c r="HA1" i="2"/>
  <c r="GZ1" i="2"/>
  <c r="GY1" i="2"/>
  <c r="GX1" i="2"/>
  <c r="GW1" i="2"/>
  <c r="GV1" i="2"/>
  <c r="GU1" i="2"/>
  <c r="GT1" i="2"/>
  <c r="GS1" i="2"/>
  <c r="GR1" i="2"/>
  <c r="GQ1" i="2"/>
  <c r="GP1" i="2"/>
  <c r="GO1" i="2"/>
  <c r="GN1" i="2"/>
  <c r="GM1" i="2"/>
  <c r="GL1" i="2"/>
  <c r="GK1" i="2"/>
  <c r="GJ1" i="2"/>
  <c r="GI1" i="2"/>
  <c r="GH1" i="2"/>
  <c r="GG1" i="2"/>
  <c r="GF1" i="2"/>
  <c r="GE1" i="2"/>
  <c r="GD1" i="2"/>
  <c r="GC1" i="2"/>
  <c r="GB1" i="2"/>
  <c r="GA1" i="2"/>
  <c r="FZ1" i="2"/>
  <c r="FY1" i="2"/>
  <c r="FX1" i="2"/>
  <c r="FW1" i="2"/>
  <c r="FV1" i="2"/>
  <c r="FU1" i="2"/>
  <c r="FT1" i="2"/>
  <c r="FS1" i="2"/>
  <c r="FR1" i="2"/>
  <c r="FQ1" i="2"/>
  <c r="FP1" i="2"/>
  <c r="FO1" i="2"/>
  <c r="FN1" i="2"/>
  <c r="FM1" i="2"/>
  <c r="FL1" i="2"/>
  <c r="FK1" i="2"/>
  <c r="FJ1" i="2"/>
  <c r="FI1" i="2"/>
  <c r="FH1" i="2"/>
  <c r="FG1" i="2"/>
  <c r="FF1" i="2"/>
  <c r="FE1" i="2"/>
  <c r="FD1" i="2"/>
  <c r="FC1" i="2"/>
  <c r="FB1" i="2"/>
  <c r="FA1" i="2"/>
  <c r="EZ1" i="2"/>
  <c r="EY1" i="2"/>
  <c r="EX1" i="2"/>
  <c r="EW1" i="2"/>
  <c r="EV1" i="2"/>
  <c r="EU1" i="2"/>
  <c r="ET1" i="2"/>
  <c r="ES1" i="2"/>
  <c r="ER1" i="2"/>
  <c r="EQ1" i="2"/>
  <c r="EP1" i="2"/>
  <c r="EO1" i="2"/>
  <c r="EN1" i="2"/>
  <c r="EM1" i="2"/>
  <c r="EL1" i="2"/>
  <c r="EK1" i="2"/>
  <c r="EJ1" i="2"/>
  <c r="EI1" i="2"/>
  <c r="EH1" i="2"/>
  <c r="EG1" i="2"/>
  <c r="EF1" i="2"/>
  <c r="EE1" i="2"/>
  <c r="ED1" i="2"/>
  <c r="EC1" i="2"/>
  <c r="EB1" i="2"/>
  <c r="EA1" i="2"/>
  <c r="DZ1" i="2"/>
  <c r="DY1" i="2"/>
  <c r="DX1" i="2"/>
  <c r="DW1" i="2"/>
  <c r="DV1" i="2"/>
  <c r="DU1" i="2"/>
  <c r="DT1" i="2"/>
  <c r="DS1" i="2"/>
  <c r="DR1" i="2"/>
  <c r="DQ1" i="2"/>
  <c r="DP1" i="2"/>
  <c r="DO1" i="2"/>
  <c r="DN1" i="2"/>
  <c r="DM1" i="2"/>
  <c r="DL1" i="2"/>
  <c r="DK1" i="2"/>
  <c r="DJ1" i="2"/>
  <c r="DI1" i="2"/>
  <c r="DH1" i="2"/>
  <c r="DG1" i="2"/>
  <c r="DF1" i="2"/>
  <c r="DE1" i="2"/>
  <c r="DD1" i="2"/>
  <c r="DC1" i="2"/>
  <c r="DB1" i="2"/>
  <c r="DA1" i="2"/>
  <c r="CZ1" i="2"/>
  <c r="CY1" i="2"/>
  <c r="CX1" i="2"/>
  <c r="CW1" i="2"/>
  <c r="CV1" i="2"/>
  <c r="CU1" i="2"/>
  <c r="CT1" i="2"/>
  <c r="CS1" i="2"/>
  <c r="CR1" i="2"/>
  <c r="CQ1" i="2"/>
  <c r="CP1" i="2"/>
  <c r="CO1" i="2"/>
  <c r="CN1" i="2"/>
  <c r="CM1" i="2"/>
  <c r="CL1" i="2"/>
  <c r="CK1" i="2"/>
  <c r="CJ1" i="2"/>
  <c r="CI1" i="2"/>
  <c r="CH1" i="2"/>
  <c r="CG1" i="2"/>
  <c r="CF1" i="2"/>
  <c r="CE1" i="2"/>
  <c r="CD1" i="2"/>
  <c r="CC1" i="2"/>
  <c r="CB1" i="2"/>
  <c r="CA1" i="2"/>
  <c r="BZ1" i="2"/>
  <c r="BY1" i="2"/>
  <c r="BX1" i="2"/>
  <c r="BW1" i="2"/>
  <c r="BV1" i="2"/>
  <c r="BU1" i="2"/>
  <c r="BT1" i="2"/>
  <c r="BS1" i="2"/>
  <c r="BR1" i="2"/>
  <c r="BQ1" i="2"/>
  <c r="BP1" i="2"/>
  <c r="BO1" i="2"/>
  <c r="BN1" i="2"/>
  <c r="BM1" i="2"/>
  <c r="BL1" i="2"/>
  <c r="BK1" i="2"/>
  <c r="BJ1" i="2"/>
  <c r="BI1" i="2"/>
  <c r="BH1" i="2"/>
  <c r="BG1" i="2"/>
  <c r="BF1" i="2"/>
  <c r="BE1" i="2"/>
  <c r="BD1" i="2"/>
  <c r="BC1" i="2"/>
  <c r="BB1" i="2"/>
  <c r="BA1" i="2"/>
  <c r="AZ1" i="2"/>
  <c r="AY1" i="2"/>
  <c r="AX1" i="2"/>
  <c r="AW1" i="2"/>
  <c r="AV1" i="2"/>
  <c r="AU1" i="2"/>
  <c r="AT1" i="2"/>
  <c r="AS1" i="2"/>
  <c r="AR1" i="2"/>
  <c r="AQ1" i="2"/>
  <c r="AP1" i="2"/>
  <c r="AO1" i="2"/>
  <c r="AN1" i="2"/>
  <c r="AM1" i="2"/>
  <c r="AL1" i="2"/>
  <c r="AK1" i="2"/>
  <c r="AJ1" i="2"/>
  <c r="AI1" i="2"/>
  <c r="AH1" i="2"/>
  <c r="AG1" i="2"/>
  <c r="AF1" i="2"/>
  <c r="AE1" i="2"/>
  <c r="AD1" i="2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<sst xmlns="http://schemas.openxmlformats.org/spreadsheetml/2006/main" count="557" uniqueCount="110">
  <si>
    <t>Owner</t>
  </si>
  <si>
    <t>Performance Driver</t>
  </si>
  <si>
    <t>#</t>
  </si>
  <si>
    <t xml:space="preserve">Strategy </t>
  </si>
  <si>
    <t>Fiscal Year Goal</t>
  </si>
  <si>
    <t>Timeline</t>
  </si>
  <si>
    <t>Comments</t>
  </si>
  <si>
    <t>1.1</t>
  </si>
  <si>
    <t>Tactical Action Plan</t>
  </si>
  <si>
    <t>Indicator of Success</t>
  </si>
  <si>
    <t>tactic one</t>
  </si>
  <si>
    <t>measure</t>
  </si>
  <si>
    <t>tactic two</t>
  </si>
  <si>
    <t>tactic three</t>
  </si>
  <si>
    <t xml:space="preserve"> </t>
  </si>
  <si>
    <t>2.1</t>
  </si>
  <si>
    <t>TAP#</t>
  </si>
  <si>
    <t>Strategy</t>
  </si>
  <si>
    <t>1.0</t>
  </si>
  <si>
    <t>1.2</t>
  </si>
  <si>
    <t>1.3</t>
  </si>
  <si>
    <t>2.0</t>
  </si>
  <si>
    <t>2.2</t>
  </si>
  <si>
    <t>2.3</t>
  </si>
  <si>
    <t>3.0</t>
  </si>
  <si>
    <t>3.1</t>
  </si>
  <si>
    <t>3.2</t>
  </si>
  <si>
    <t>3.3</t>
  </si>
  <si>
    <t>4.0</t>
  </si>
  <si>
    <t>5.0</t>
  </si>
  <si>
    <t>5.1</t>
  </si>
  <si>
    <t>6.0</t>
  </si>
  <si>
    <t>Organizational Readiness</t>
  </si>
  <si>
    <t>6.1</t>
  </si>
  <si>
    <t>6.2</t>
  </si>
  <si>
    <t>6.3</t>
  </si>
  <si>
    <t>3.1.1</t>
  </si>
  <si>
    <t>3.1.2</t>
  </si>
  <si>
    <t>3.1.3</t>
  </si>
  <si>
    <t>AAAAAG3v/X0=</t>
  </si>
  <si>
    <t>4.1</t>
  </si>
  <si>
    <t>6.1.1</t>
  </si>
  <si>
    <t>6.1.2</t>
  </si>
  <si>
    <t>6.1.3</t>
  </si>
  <si>
    <t>6.2.1</t>
  </si>
  <si>
    <t>6.2.2</t>
  </si>
  <si>
    <t>6.2.3</t>
  </si>
  <si>
    <t>6.3.1</t>
  </si>
  <si>
    <t>6.3.2</t>
  </si>
  <si>
    <t>6.3.3</t>
  </si>
  <si>
    <t>Attributes</t>
  </si>
  <si>
    <t>Slogan</t>
  </si>
  <si>
    <t>Elevator Speech</t>
  </si>
  <si>
    <t>Goal</t>
  </si>
  <si>
    <t>Target Deadline</t>
  </si>
  <si>
    <t>Membership</t>
  </si>
  <si>
    <t>Service &amp; Fundraising</t>
  </si>
  <si>
    <t>Foundation &amp; Polio Plus</t>
  </si>
  <si>
    <t>Public Image</t>
  </si>
  <si>
    <t>4.2</t>
  </si>
  <si>
    <t>4.3</t>
  </si>
  <si>
    <t>Visioning &amp; Tactical Action Plan for the Rotary Club of:</t>
  </si>
  <si>
    <t>5.2</t>
  </si>
  <si>
    <t>5.3</t>
  </si>
  <si>
    <t>Fellowship</t>
  </si>
  <si>
    <t>1.1.1</t>
  </si>
  <si>
    <t>1.1.2</t>
  </si>
  <si>
    <t>1.1.3</t>
  </si>
  <si>
    <t>1.2.1</t>
  </si>
  <si>
    <t>1.2.2</t>
  </si>
  <si>
    <t>1.2.3</t>
  </si>
  <si>
    <t>1.3.1</t>
  </si>
  <si>
    <t>1.3.2</t>
  </si>
  <si>
    <t>1.3.3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</si>
  <si>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</si>
  <si>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</si>
  <si>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</si>
  <si>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</si>
  <si>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</si>
  <si>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</si>
  <si>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</si>
  <si>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</si>
  <si>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</si>
  <si>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3.2.1</t>
  </si>
  <si>
    <t>3.2.2</t>
  </si>
  <si>
    <t>3.2.3</t>
  </si>
  <si>
    <t>3.3.1</t>
  </si>
  <si>
    <t>3.3.2</t>
  </si>
  <si>
    <t>3.3.3</t>
  </si>
  <si>
    <t>4.1.1</t>
  </si>
  <si>
    <t>4.1.2</t>
  </si>
  <si>
    <t>4.1.3</t>
  </si>
  <si>
    <t>4.2.1</t>
  </si>
  <si>
    <t>4.2.2</t>
  </si>
  <si>
    <t>4.2.3</t>
  </si>
  <si>
    <t>4.3.1</t>
  </si>
  <si>
    <t>4.3.2</t>
  </si>
  <si>
    <t>4.3.3</t>
  </si>
  <si>
    <t>5.1.1</t>
  </si>
  <si>
    <t>5.1.2</t>
  </si>
  <si>
    <t>5.1.3</t>
  </si>
  <si>
    <t>5.2.1</t>
  </si>
  <si>
    <t>5.2.2</t>
  </si>
  <si>
    <t>5.2.3</t>
  </si>
  <si>
    <t>5.3.1</t>
  </si>
  <si>
    <t>5.3.2</t>
  </si>
  <si>
    <t>5.3.3</t>
  </si>
  <si>
    <t>Who We Are</t>
  </si>
  <si>
    <t>What We Stand For</t>
  </si>
  <si>
    <t>Check-in
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</si>
</sst>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/d/yy"/>
  </numFmts>
  <fonts count="23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b/>
      <sz val="12"/>
      <color rgb="FFFFFFFF"/>
      <name val="Arial"/>
    </font>
    <font>
      <b/>
      <sz val="8"/>
      <name val="Arial"/>
    </font>
    <font>
      <b/>
      <sz val="12"/>
      <color rgb="FFFF0000"/>
      <name val="Arial"/>
    </font>
    <font>
      <sz val="8"/>
      <name val="Arial"/>
    </font>
    <font>
      <sz val="10"/>
      <name val="Arial"/>
    </font>
    <font>
      <sz val="12"/>
      <color rgb="FFFF0000"/>
      <name val="Arial"/>
    </font>
    <font>
      <sz val="12"/>
      <color rgb="FFFFFFFF"/>
      <name val="Arial"/>
    </font>
    <font>
      <sz val="12"/>
      <color rgb="FF000000"/>
      <name val="Arial"/>
    </font>
    <font>
      <sz val="12"/>
      <color rgb="FF0000FF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rgb="FFFFFFFF"/>
      <name val="Arial"/>
      <family val="2"/>
    </font>
    <font>
      <b/>
      <sz val="14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000080"/>
      </patternFill>
    </fill>
    <fill>
      <patternFill patternType="solid">
        <fgColor rgb="FF808080"/>
        <bgColor rgb="FF808080"/>
      </patternFill>
    </fill>
    <fill>
      <patternFill patternType="solid">
        <fgColor rgb="FF008000"/>
        <bgColor rgb="FF0080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rgb="FFFF0000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Alignment="1">
      <alignment vertical="center" wrapText="1"/>
    </xf>
    <xf numFmtId="0" fontId="3" fillId="2" borderId="7" xfId="0" applyFont="1" applyFill="1" applyBorder="1"/>
    <xf numFmtId="0" fontId="3" fillId="2" borderId="8" xfId="0" applyFont="1" applyFill="1" applyBorder="1"/>
    <xf numFmtId="0" fontId="3" fillId="0" borderId="0" xfId="0" applyFont="1"/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top" wrapText="1"/>
    </xf>
    <xf numFmtId="0" fontId="1" fillId="0" borderId="0" xfId="0" applyFont="1"/>
    <xf numFmtId="0" fontId="8" fillId="5" borderId="15" xfId="0" applyFont="1" applyFill="1" applyBorder="1"/>
    <xf numFmtId="0" fontId="3" fillId="0" borderId="0" xfId="0" applyFont="1" applyAlignment="1">
      <alignment vertical="center"/>
    </xf>
    <xf numFmtId="0" fontId="3" fillId="2" borderId="16" xfId="0" applyFont="1" applyFill="1" applyBorder="1" applyAlignment="1">
      <alignment horizontal="left"/>
    </xf>
    <xf numFmtId="0" fontId="10" fillId="0" borderId="0" xfId="0" applyFont="1"/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13" fillId="7" borderId="15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vertical="center" wrapText="1"/>
    </xf>
    <xf numFmtId="49" fontId="13" fillId="2" borderId="15" xfId="0" applyNumberFormat="1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>
      <alignment horizontal="left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16" fontId="18" fillId="7" borderId="25" xfId="0" applyNumberFormat="1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0" fillId="8" borderId="0" xfId="0" applyFill="1"/>
    <xf numFmtId="0" fontId="3" fillId="8" borderId="0" xfId="0" applyFont="1" applyFill="1" applyAlignment="1">
      <alignment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9" fillId="9" borderId="8" xfId="0" applyFont="1" applyFill="1" applyBorder="1" applyAlignment="1">
      <alignment horizontal="center" vertical="center" wrapText="1"/>
    </xf>
    <xf numFmtId="164" fontId="11" fillId="9" borderId="8" xfId="0" applyNumberFormat="1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left" vertical="center" wrapText="1"/>
    </xf>
    <xf numFmtId="0" fontId="3" fillId="8" borderId="0" xfId="0" applyFont="1" applyFill="1" applyAlignment="1">
      <alignment horizontal="center" vertical="center" wrapText="1"/>
    </xf>
    <xf numFmtId="49" fontId="13" fillId="2" borderId="33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vertical="center" wrapText="1"/>
    </xf>
    <xf numFmtId="49" fontId="3" fillId="6" borderId="32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20" fillId="0" borderId="34" xfId="0" applyFont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/>
    </xf>
    <xf numFmtId="0" fontId="14" fillId="2" borderId="12" xfId="0" applyFont="1" applyFill="1" applyBorder="1" applyAlignment="1">
      <alignment horizontal="left" vertical="center" wrapText="1"/>
    </xf>
    <xf numFmtId="0" fontId="15" fillId="0" borderId="13" xfId="0" applyFont="1" applyBorder="1"/>
    <xf numFmtId="0" fontId="15" fillId="0" borderId="14" xfId="0" applyFont="1" applyBorder="1"/>
    <xf numFmtId="0" fontId="16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5" fillId="0" borderId="23" xfId="0" applyFont="1" applyBorder="1"/>
    <xf numFmtId="0" fontId="15" fillId="0" borderId="24" xfId="0" applyFont="1" applyBorder="1"/>
    <xf numFmtId="0" fontId="16" fillId="2" borderId="2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2" fillId="0" borderId="14" xfId="0" applyFont="1" applyBorder="1"/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" fillId="6" borderId="32" xfId="0" applyFont="1" applyFill="1" applyBorder="1" applyAlignment="1">
      <alignment horizontal="left" vertical="center" wrapText="1"/>
    </xf>
    <xf numFmtId="0" fontId="2" fillId="0" borderId="32" xfId="0" applyFont="1" applyBorder="1"/>
    <xf numFmtId="164" fontId="18" fillId="2" borderId="29" xfId="0" applyNumberFormat="1" applyFont="1" applyFill="1" applyBorder="1" applyAlignment="1">
      <alignment horizontal="center" vertical="center" wrapText="1"/>
    </xf>
    <xf numFmtId="0" fontId="15" fillId="0" borderId="30" xfId="0" applyFont="1" applyBorder="1"/>
    <xf numFmtId="0" fontId="15" fillId="0" borderId="31" xfId="0" applyFont="1" applyBorder="1"/>
    <xf numFmtId="6" fontId="15" fillId="2" borderId="12" xfId="0" applyNumberFormat="1" applyFont="1" applyFill="1" applyBorder="1" applyAlignment="1">
      <alignment horizontal="center" vertical="center" wrapText="1"/>
    </xf>
    <xf numFmtId="164" fontId="18" fillId="2" borderId="12" xfId="0" applyNumberFormat="1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right"/>
    </xf>
    <xf numFmtId="0" fontId="0" fillId="8" borderId="6" xfId="0" applyFill="1" applyBorder="1" applyAlignment="1">
      <alignment horizontal="right"/>
    </xf>
    <xf numFmtId="0" fontId="21" fillId="3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4" fillId="0" borderId="12" xfId="0" applyFont="1" applyBorder="1" applyAlignment="1">
      <alignment vertical="center" wrapText="1"/>
    </xf>
    <xf numFmtId="9" fontId="15" fillId="2" borderId="12" xfId="0" applyNumberFormat="1" applyFont="1" applyFill="1" applyBorder="1" applyAlignment="1">
      <alignment horizontal="center" vertical="center" wrapText="1"/>
    </xf>
    <xf numFmtId="0" fontId="16" fillId="0" borderId="14" xfId="0" applyFont="1" applyBorder="1"/>
    <xf numFmtId="0" fontId="3" fillId="6" borderId="12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2" fillId="0" borderId="24" xfId="0" applyFont="1" applyBorder="1"/>
    <xf numFmtId="0" fontId="19" fillId="6" borderId="26" xfId="0" applyFont="1" applyFill="1" applyBorder="1" applyAlignment="1">
      <alignment horizontal="left" vertical="center" wrapText="1"/>
    </xf>
    <xf numFmtId="0" fontId="2" fillId="0" borderId="27" xfId="0" applyFont="1" applyBorder="1"/>
    <xf numFmtId="0" fontId="2" fillId="0" borderId="28" xfId="0" applyFont="1" applyBorder="1"/>
    <xf numFmtId="0" fontId="9" fillId="6" borderId="12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19" fillId="6" borderId="32" xfId="0" applyFont="1" applyFill="1" applyBorder="1" applyAlignment="1">
      <alignment horizontal="left" vertical="center" wrapText="1"/>
    </xf>
    <xf numFmtId="0" fontId="14" fillId="7" borderId="25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>
      <alignment horizontal="left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6" borderId="3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6" fontId="18" fillId="2" borderId="12" xfId="0" applyNumberFormat="1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16" fontId="18" fillId="7" borderId="25" xfId="0" applyNumberFormat="1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4" fontId="11" fillId="0" borderId="12" xfId="0" applyNumberFormat="1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/>
    </xf>
    <xf numFmtId="0" fontId="2" fillId="0" borderId="18" xfId="0" applyFont="1" applyBorder="1"/>
    <xf numFmtId="0" fontId="9" fillId="2" borderId="17" xfId="0" applyFont="1" applyFill="1" applyBorder="1"/>
    <xf numFmtId="0" fontId="3" fillId="2" borderId="19" xfId="0" applyFont="1" applyFill="1" applyBorder="1"/>
    <xf numFmtId="0" fontId="2" fillId="0" borderId="20" xfId="0" applyFont="1" applyBorder="1"/>
    <xf numFmtId="0" fontId="3" fillId="2" borderId="17" xfId="0" applyFont="1" applyFill="1" applyBorder="1"/>
    <xf numFmtId="0" fontId="4" fillId="10" borderId="12" xfId="0" applyFont="1" applyFill="1" applyBorder="1" applyAlignment="1">
      <alignment horizontal="center" vertical="center" wrapText="1"/>
    </xf>
    <xf numFmtId="0" fontId="2" fillId="11" borderId="13" xfId="0" applyFont="1" applyFill="1" applyBorder="1"/>
    <xf numFmtId="0" fontId="2" fillId="11" borderId="14" xfId="0" applyFont="1" applyFill="1" applyBorder="1"/>
    <xf numFmtId="0" fontId="4" fillId="10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4" fillId="4" borderId="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13</xdr:row>
      <xdr:rowOff>590550</xdr:rowOff>
    </xdr:from>
    <xdr:to>
      <xdr:col>14</xdr:col>
      <xdr:colOff>723900</xdr:colOff>
      <xdr:row>13</xdr:row>
      <xdr:rowOff>752475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210550" y="5353050"/>
          <a:ext cx="609600" cy="161925"/>
          <a:chOff x="5041200" y="3699038"/>
          <a:chExt cx="609600" cy="161925"/>
        </a:xfrm>
      </xdr:grpSpPr>
      <xdr:grpSp>
        <xdr:nvGrpSpPr>
          <xdr:cNvPr id="10" name="Shape 10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5041200" y="3699038"/>
            <a:ext cx="609600" cy="161925"/>
            <a:chOff x="509" y="399"/>
            <a:chExt cx="75" cy="17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509" y="399"/>
              <a:ext cx="75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11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509" y="399"/>
              <a:ext cx="19" cy="17"/>
            </a:xfrm>
            <a:prstGeom prst="rect">
              <a:avLst/>
            </a:prstGeom>
            <a:solidFill>
              <a:srgbClr val="FF0000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" name="Shape 12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>
            <a:xfrm>
              <a:off x="537" y="399"/>
              <a:ext cx="19" cy="17"/>
            </a:xfrm>
            <a:prstGeom prst="rect">
              <a:avLst/>
            </a:prstGeom>
            <a:solidFill>
              <a:srgbClr val="FFFF00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" name="Shape 13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>
            <a:xfrm>
              <a:off x="565" y="399"/>
              <a:ext cx="19" cy="17"/>
            </a:xfrm>
            <a:prstGeom prst="rect">
              <a:avLst/>
            </a:prstGeom>
            <a:solidFill>
              <a:srgbClr val="339966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</xdr:grpSp>
    </xdr:grp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0893F249-9D93-4B5D-8AFB-5CA719E08418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CAF4588A-5A79-4522-A44E-9A0618D8DCA6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790B4015-A971-442C-8A7E-80735B75E0C8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D2AF3864-1740-45E2-B64B-ECCFEDEE893E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D6B88779-79BA-4667-A514-0F7F8857250C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4D58E420-F36F-4F37-A5FB-280133DFDEAF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629C8250-7053-47ED-8DDB-4F6BB60F1AEE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CD0F1317-950D-4C5B-AE84-AB71D4906292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C4C63A29-A875-4107-BFB0-6DFA97DE8D4E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631C9C45-1942-4B5F-9CEF-CDE72831CB2F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877CCBE0-8C9E-425B-92F6-074268106672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5B30D8D5-2FC2-4CD2-87DE-7B2BC552C246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AD45558D-6B55-42D7-8A96-A615A94A498E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FE658481-682B-49FC-AA40-C2BEB2E62B0E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A8A73E0F-28AD-4EC1-83EA-C8FDC4782BAF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626673B2-DEC6-4B23-9D03-1F09C9721D1E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487A8A4E-F898-4EF7-AB93-E5B5806441A5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26EFBB07-5F32-44B3-B105-E4307D12CC47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82496CBF-3249-4CA6-B237-CEB653672F14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5CF411E4-37EC-4254-9A2E-A69A9DF1C0C8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9E043020-4C3F-4B5C-903A-AD8B4A0D9AC2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48982B8D-B5D7-4294-A788-6632E9CFDF3A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8D494E38-4D3C-4794-B1C5-72F9D2B0A44F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BDD89415-DA1F-4554-A2B6-26909E96CD44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A5D6F53B-7B2C-47FD-8532-F8CF6876FB0A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65E89A24-C6CD-4BB9-BDF7-1E73F08A6F1A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22B2E9A-48F3-4041-ADC8-75D1B49C5762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1B0EE27-E03B-41A4-A0B0-BC948FD718C8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76226F03-AF34-444D-9891-A30DC698ED61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C70A1E40-143E-4502-A066-617EC033F5C5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9A6DAC2E-53BB-45A1-97EB-8FA78148C154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6F445538-2E6E-45D7-8042-B55DD14E73DA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7E84961-7A42-4205-908A-8A2C634EAA6B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D448E8C3-C266-4AE0-A05A-DA2C16302301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766D79B3-8765-4FA7-AA2A-EF3763DD35DA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78715722-592E-4CAE-982A-57DFF70FC43D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B3547A90-FC6D-4A39-A71F-4968E78C4007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14C2D76A-C3BB-4D35-AEDE-1F26DE0DE0BE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D82561EC-341F-49F2-A345-B2A524B54F48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6ABE1B6E-BAB4-4BF7-9BAC-C5AAF95EAFD2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AC32096F-C0B2-4EE2-BBE3-4FA0465AA2FF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BB7FB618-F589-42EB-A5C2-DBEFCA6E3A4D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A307D803-098A-4B24-B163-A526ECC23188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1D818E6F-3F40-49DF-A0BB-6177FB49BD6D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6EB429BB-7953-49DF-8325-8E4C82CFF449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A7328F4C-559F-4DE3-BBE9-3191F66D46B6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75D44C40-74F7-40FB-8A85-E348BB4F11CB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174EF461-1590-464F-A4CC-C88FD45A36B4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3E04B328-90A5-46E2-AE66-BE1BB0EE115E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3C376984-2D19-4CCA-8FB5-F959B1AD2121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A2F83F03-AC12-46D7-B5D0-DD2CC2494653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C9FCCF34-35AC-42BA-AF73-61ABCCBCFB8D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DE5CC0DF-F0C0-45E7-9A93-F8CF57805702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9B33CACD-E2C9-4140-B08B-902FD15E523A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780F891E-EADC-413C-B27D-34455D220F8B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3E5842DD-DB90-43B7-A4F2-E2C4BC9FCBD5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0084FCE8-21B2-471E-A16E-38840091CAE0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955012F4-F929-4514-97DE-72D614180437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8C7F6530-1902-42B4-AEED-420C190560D5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40893F2E-92E3-4946-A44D-3513372EDA53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A81D75F-45C0-4EAF-9074-83E7916E48B3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542DD20C-3F59-474C-9D1B-E9489C10E4E3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ADA22D95-645B-4AB7-A541-180D3DC047B7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363AC818-BA40-4D4C-A108-DEB49C97F516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3DAF3850-C9E5-4A95-A893-96F04DE53E02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9FEE9A02-1A87-4699-AD1C-6223028C86E5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566DDAB0-C7E7-4DE4-B053-10EB80AF4048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F958306B-0CFD-4193-92A3-A5816B3A5BFD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BE873CB-C155-4075-AE91-8A122CD655FD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E595F6CD-1C51-4271-A725-9217F62C93CB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684EFE2B-AE44-4175-9BF9-C75B15CCAA23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341F1F09-932F-4BD6-9CE8-95D79C3F4D48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134E14EC-C34E-4A05-A759-8839818060B6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A9789E1C-6012-4F2E-B943-D6F4C037FBA3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8E39999E-8488-44B5-B88E-A37E461C5EC1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6FC328FF-2BC4-410D-8F62-3B011EA72AB6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165FDB4D-3DAF-438F-94DB-0544F40DF4E4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605E600E-B066-48A8-A8E8-F6E9963C61AD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3A79E466-84A5-4A6C-B53F-BE32322EB1AB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04760F94-A420-430A-9B7E-FAA83E6A9F63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AB1B922E-475F-43B1-A719-17749B9A5795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230E207D-497E-4B60-964C-E2CAE465F472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83C75A9F-2BE2-48CA-AB0B-A05614824755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228ACDDC-E6AD-4DBF-9BDB-3910E11EC1E0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A11903C8-CBE3-4611-B355-92958D3FED39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D19A66C2-73F5-4948-9200-08D9E96D1C61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23D33264-7FC0-496C-A919-A337E1F94617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905CD744-0E06-4C3B-908E-E0330B8F96EB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200-000006000000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200-000007000000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00000000-0008-0000-0200-000008000000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00000000-0008-0000-0200-000009000000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1C84C901-3956-4324-85C6-8F7D97177496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AF2640AD-9882-4506-A34A-D1C35DA93C81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1F6D1D4A-A47F-474E-8BD6-145B576E60CE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FB993E56-A2D5-496D-B466-D5EE2A9F869B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B42227AF-98B8-4572-ACB0-E26D4463BAE4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18DB19B8-B086-491B-BB0D-ACE37FA06616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61CA8171-9789-4032-B71A-F208A2F68269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483A57EB-58EF-4697-8A61-26E292790BAC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12028FEE-2BF1-4CF9-9CBE-DAD45A5A599D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5B97935F-AE59-4279-912D-666BF441FFF4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6AFC20AE-6DCF-4842-8CC1-85D181E8BF1D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A306FFA1-3D18-4814-9C45-35AE8F2C72AE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2E1F75F2-D976-4326-A4EC-CE7312570620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6114CE64-4E68-4BA7-9D91-83698405B51A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D2192178-8CBA-4E41-9F1E-942DA071226F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3E6A2B6A-31CD-424E-BD14-C1B03E56E8B2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E490AE69-D825-4F86-8EF0-16D42D28E937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97D615FD-D0D2-4FDD-A04E-AD6D5F2BBC4F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F8ED9CA1-FE0D-417A-BBF3-0005DE4BC2AD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4FB2C9C2-3058-4B2B-9B7D-2D9E41CEFC64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5D9BAA7B-FC2D-4A59-A7E3-9AF13410BA17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F6F112A9-50F2-4728-88AF-B77B9A1D606D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7940EA3B-FE87-4B24-B323-6018A984BCC7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A0B771D8-D116-4082-8699-3BF1BBA59011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B260DACA-AB9A-4DE3-BA5F-3D92627204D9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CCFCC59B-0967-4D8D-8E6F-AE7003322795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DE0183DF-1397-489C-937B-D626AE1DB25D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600F966A-0B90-47CD-AD9E-4D8E92DB7365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97B71B8A-1D5A-402A-8D43-1C7327673C3A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A7DE5CDC-E899-4A56-847F-0A4A6ACB8109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C771D071-7A2A-4386-80B7-4A0173C94D62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6543AE48-83EC-48B7-ABFE-65BC0A7BFF49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18427A0B-0DAD-4283-AD4E-372085AE98C6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1371F0BE-2520-4164-9F4E-9027B43C41BC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7E6D747A-719E-4720-8F4D-178D2D49E64D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C153D380-782D-40E6-A44A-B35D0BBCE79A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A0D11130-211C-4138-BBB3-1AC3C2CF9AB3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718D540-4F76-420E-AA6D-5F8D81533CA0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04B211C0-00BB-43C5-B42E-E63F92073BE3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7D755818-8F6C-41EE-BD62-49E963631986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39B718AA-0B90-4E36-88BE-04F06F270BAD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B8C902A6-EEAC-48DD-B2AB-000054C75F43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233A602F-EFAA-4601-9E82-D3D74CEC0F70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54B29DAD-B316-4212-8361-9A8952A02600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C4A67627-E1C6-4254-A992-9AA5BF4419F5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FAD41DD6-1BA6-4418-B253-D0B5CD717123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A25F0DA4-A0A0-425D-99AA-62410AEA2DB5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EA0FEFFA-565B-4ACE-BB75-D25544FE8B1E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438150</xdr:rowOff>
    </xdr:from>
    <xdr:to>
      <xdr:col>13</xdr:col>
      <xdr:colOff>628650</xdr:colOff>
      <xdr:row>1</xdr:row>
      <xdr:rowOff>590550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8B021467-74BA-48A7-A525-A27A83D24021}"/>
            </a:ext>
          </a:extLst>
        </xdr:cNvPr>
        <xdr:cNvGrpSpPr/>
      </xdr:nvGrpSpPr>
      <xdr:grpSpPr>
        <a:xfrm>
          <a:off x="8639175" y="638175"/>
          <a:ext cx="523875" cy="152400"/>
          <a:chOff x="5084063" y="3703800"/>
          <a:chExt cx="523875" cy="1524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892782D7-D4ED-4A67-81EA-DDE68794CDFE}"/>
              </a:ext>
            </a:extLst>
          </xdr:cNvPr>
          <xdr:cNvGrpSpPr/>
        </xdr:nvGrpSpPr>
        <xdr:grpSpPr>
          <a:xfrm>
            <a:off x="5084063" y="3703800"/>
            <a:ext cx="523875" cy="152400"/>
            <a:chOff x="5084063" y="3703800"/>
            <a:chExt cx="523875" cy="1524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F79E7994-5979-4263-A6D7-83EAB22EDE10}"/>
                </a:ext>
              </a:extLst>
            </xdr:cNvPr>
            <xdr:cNvSpPr/>
          </xdr:nvSpPr>
          <xdr:spPr>
            <a:xfrm>
              <a:off x="5084063" y="3703800"/>
              <a:ext cx="523875" cy="1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42C19985-ED6E-48F3-AD0D-572B2D79AC0F}"/>
                </a:ext>
              </a:extLst>
            </xdr:cNvPr>
            <xdr:cNvGrpSpPr/>
          </xdr:nvGrpSpPr>
          <xdr:grpSpPr>
            <a:xfrm>
              <a:off x="5084063" y="3703800"/>
              <a:ext cx="523875" cy="152400"/>
              <a:chOff x="509" y="399"/>
              <a:chExt cx="75" cy="17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DA356AEF-B457-43D6-8886-511FB071336C}"/>
                  </a:ext>
                </a:extLst>
              </xdr:cNvPr>
              <xdr:cNvSpPr/>
            </xdr:nvSpPr>
            <xdr:spPr>
              <a:xfrm>
                <a:off x="509" y="399"/>
                <a:ext cx="75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356309E8-969D-472A-940C-B34B3951532A}"/>
                  </a:ext>
                </a:extLst>
              </xdr:cNvPr>
              <xdr:cNvSpPr/>
            </xdr:nvSpPr>
            <xdr:spPr>
              <a:xfrm>
                <a:off x="509" y="399"/>
                <a:ext cx="19" cy="17"/>
              </a:xfrm>
              <a:prstGeom prst="rect">
                <a:avLst/>
              </a:prstGeom>
              <a:solidFill>
                <a:srgbClr val="FF00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784F1428-39A7-4DB5-91A1-044A2085819B}"/>
                  </a:ext>
                </a:extLst>
              </xdr:cNvPr>
              <xdr:cNvSpPr/>
            </xdr:nvSpPr>
            <xdr:spPr>
              <a:xfrm>
                <a:off x="537" y="399"/>
                <a:ext cx="19" cy="17"/>
              </a:xfrm>
              <a:prstGeom prst="rect">
                <a:avLst/>
              </a:prstGeom>
              <a:solidFill>
                <a:srgbClr val="FF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5C44AE29-BE56-4B13-B092-96C8486F8D6D}"/>
                  </a:ext>
                </a:extLst>
              </xdr:cNvPr>
              <xdr:cNvSpPr/>
            </xdr:nvSpPr>
            <xdr:spPr>
              <a:xfrm>
                <a:off x="565" y="399"/>
                <a:ext cx="19" cy="17"/>
              </a:xfrm>
              <a:prstGeom prst="rect">
                <a:avLst/>
              </a:prstGeom>
              <a:solidFill>
                <a:srgbClr val="00FF00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</xdr:grpSp>
      </xdr:grp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8"/>
  <sheetViews>
    <sheetView tabSelected="1" workbookViewId="0">
      <pane ySplit="2" topLeftCell="A3" activePane="bottomLeft" state="frozen"/>
      <selection pane="bottomLeft" activeCell="A13" sqref="A13:Q13"/>
    </sheetView>
  </sheetViews>
  <sheetFormatPr defaultColWidth="14.42578125" defaultRowHeight="15" customHeight="1" x14ac:dyDescent="0.2"/>
  <cols>
    <col min="1" max="1" width="9.140625" customWidth="1"/>
    <col min="2" max="2" width="6" customWidth="1"/>
    <col min="3" max="3" width="10.5703125" customWidth="1"/>
    <col min="4" max="5" width="9" customWidth="1"/>
    <col min="6" max="6" width="13.140625" customWidth="1"/>
    <col min="7" max="8" width="8.7109375" customWidth="1"/>
    <col min="9" max="11" width="9" customWidth="1"/>
    <col min="12" max="14" width="6.7109375" customWidth="1"/>
    <col min="15" max="15" width="13.28515625" customWidth="1"/>
    <col min="16" max="16" width="14.28515625" customWidth="1"/>
    <col min="17" max="17" width="47.28515625" customWidth="1"/>
    <col min="18" max="18" width="17.5703125" customWidth="1"/>
    <col min="19" max="26" width="9.140625" customWidth="1"/>
  </cols>
  <sheetData>
    <row r="1" spans="1:26" ht="1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26" ht="15" customHeight="1" thickBot="1" x14ac:dyDescent="0.3">
      <c r="A2" s="89" t="s">
        <v>61</v>
      </c>
      <c r="B2" s="89"/>
      <c r="C2" s="89"/>
      <c r="D2" s="89"/>
      <c r="E2" s="89"/>
      <c r="F2" s="89"/>
      <c r="G2" s="62"/>
      <c r="H2" s="62"/>
      <c r="I2" s="62"/>
      <c r="J2" s="62"/>
      <c r="K2" s="62"/>
      <c r="L2" s="62"/>
      <c r="M2" s="62"/>
      <c r="N2" s="62"/>
      <c r="O2" s="43"/>
      <c r="P2" s="43"/>
      <c r="Q2" s="43"/>
    </row>
    <row r="3" spans="1:26" ht="15" customHeight="1" thickBot="1" x14ac:dyDescent="0.25">
      <c r="A3" s="90"/>
      <c r="B3" s="90"/>
      <c r="C3" s="90"/>
      <c r="D3" s="90"/>
      <c r="E3" s="90"/>
      <c r="F3" s="90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26" ht="17.100000000000001" customHeight="1" x14ac:dyDescent="0.2">
      <c r="A4" s="154" t="s">
        <v>107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"/>
      <c r="S4" s="1"/>
      <c r="T4" s="1"/>
      <c r="U4" s="1"/>
      <c r="V4" s="1"/>
      <c r="W4" s="1"/>
      <c r="X4" s="1"/>
      <c r="Y4" s="1"/>
      <c r="Z4" s="1"/>
    </row>
    <row r="5" spans="1:26" ht="50.1" customHeight="1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"/>
      <c r="S5" s="1"/>
      <c r="T5" s="1"/>
      <c r="U5" s="1"/>
      <c r="V5" s="1"/>
      <c r="W5" s="1"/>
      <c r="X5" s="1"/>
      <c r="Y5" s="1"/>
      <c r="Z5" s="1"/>
    </row>
    <row r="6" spans="1:26" ht="17.100000000000001" customHeight="1" x14ac:dyDescent="0.2">
      <c r="A6" s="154" t="s">
        <v>108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"/>
      <c r="S6" s="1"/>
      <c r="T6" s="1"/>
      <c r="U6" s="1"/>
      <c r="V6" s="1"/>
      <c r="W6" s="1"/>
      <c r="X6" s="1"/>
      <c r="Y6" s="1"/>
      <c r="Z6" s="1"/>
    </row>
    <row r="7" spans="1:26" ht="50.1" customHeight="1" x14ac:dyDescent="0.2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"/>
      <c r="S7" s="1"/>
      <c r="T7" s="1"/>
      <c r="U7" s="1"/>
      <c r="V7" s="1"/>
      <c r="W7" s="1"/>
      <c r="X7" s="1"/>
      <c r="Y7" s="1"/>
      <c r="Z7" s="1"/>
    </row>
    <row r="8" spans="1:26" ht="17.100000000000001" customHeight="1" x14ac:dyDescent="0.2">
      <c r="A8" s="158" t="s">
        <v>50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"/>
      <c r="S8" s="1"/>
      <c r="T8" s="1"/>
      <c r="U8" s="1"/>
      <c r="V8" s="1"/>
      <c r="W8" s="1"/>
      <c r="X8" s="1"/>
      <c r="Y8" s="1"/>
      <c r="Z8" s="1"/>
    </row>
    <row r="9" spans="1:26" ht="50.1" customHeight="1" x14ac:dyDescent="0.2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"/>
      <c r="S9" s="1"/>
      <c r="T9" s="1"/>
      <c r="U9" s="1"/>
      <c r="V9" s="1"/>
      <c r="W9" s="1"/>
      <c r="X9" s="1"/>
      <c r="Y9" s="1"/>
      <c r="Z9" s="1"/>
    </row>
    <row r="10" spans="1:26" ht="17.100000000000001" customHeight="1" x14ac:dyDescent="0.2">
      <c r="A10" s="158" t="s">
        <v>51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"/>
      <c r="S10" s="1"/>
      <c r="T10" s="1"/>
      <c r="U10" s="1"/>
      <c r="V10" s="1"/>
      <c r="W10" s="1"/>
      <c r="X10" s="1"/>
      <c r="Y10" s="1"/>
      <c r="Z10" s="1"/>
    </row>
    <row r="11" spans="1:26" ht="50.1" customHeight="1" x14ac:dyDescent="0.2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"/>
      <c r="S11" s="1"/>
      <c r="T11" s="1"/>
      <c r="U11" s="1"/>
      <c r="V11" s="1"/>
      <c r="W11" s="1"/>
      <c r="X11" s="1"/>
      <c r="Y11" s="1"/>
      <c r="Z11" s="1"/>
    </row>
    <row r="12" spans="1:26" ht="17.100000000000001" customHeight="1" x14ac:dyDescent="0.2">
      <c r="A12" s="158" t="s">
        <v>52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"/>
      <c r="S12" s="1"/>
      <c r="T12" s="1"/>
      <c r="U12" s="1"/>
      <c r="V12" s="1"/>
      <c r="W12" s="1"/>
      <c r="X12" s="1"/>
      <c r="Y12" s="1"/>
      <c r="Z12" s="1"/>
    </row>
    <row r="13" spans="1:26" ht="50.1" customHeight="1" x14ac:dyDescent="0.2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4"/>
      <c r="S13" s="4"/>
      <c r="T13" s="4"/>
      <c r="U13" s="4"/>
      <c r="V13" s="4"/>
      <c r="W13" s="4"/>
      <c r="X13" s="4"/>
      <c r="Y13" s="4"/>
      <c r="Z13" s="4"/>
    </row>
    <row r="14" spans="1:26" ht="60.75" customHeight="1" x14ac:dyDescent="0.2">
      <c r="A14" s="14"/>
      <c r="B14" s="14" t="s">
        <v>16</v>
      </c>
      <c r="C14" s="91" t="s">
        <v>17</v>
      </c>
      <c r="D14" s="92"/>
      <c r="E14" s="92"/>
      <c r="F14" s="78"/>
      <c r="G14" s="116" t="s">
        <v>0</v>
      </c>
      <c r="H14" s="78"/>
      <c r="I14" s="116" t="s">
        <v>54</v>
      </c>
      <c r="J14" s="92"/>
      <c r="K14" s="78"/>
      <c r="L14" s="116" t="s">
        <v>53</v>
      </c>
      <c r="M14" s="92"/>
      <c r="N14" s="78"/>
      <c r="O14" s="61" t="s">
        <v>109</v>
      </c>
      <c r="P14" s="118" t="s">
        <v>6</v>
      </c>
      <c r="Q14" s="78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7" customHeight="1" x14ac:dyDescent="0.2">
      <c r="A15" s="16"/>
      <c r="B15" s="17" t="s">
        <v>18</v>
      </c>
      <c r="C15" s="97" t="s">
        <v>55</v>
      </c>
      <c r="D15" s="98"/>
      <c r="E15" s="98"/>
      <c r="F15" s="99"/>
      <c r="G15" s="103"/>
      <c r="H15" s="78"/>
      <c r="I15" s="96"/>
      <c r="J15" s="92"/>
      <c r="K15" s="78"/>
      <c r="L15" s="96"/>
      <c r="M15" s="92"/>
      <c r="N15" s="78"/>
      <c r="O15" s="18"/>
      <c r="P15" s="96"/>
      <c r="Q15" s="78"/>
      <c r="R15" s="1"/>
      <c r="S15" s="1"/>
      <c r="T15" s="1"/>
      <c r="U15" s="1"/>
      <c r="V15" s="1"/>
      <c r="W15" s="1"/>
      <c r="X15" s="1"/>
      <c r="Y15" s="1"/>
      <c r="Z15" s="1"/>
    </row>
    <row r="16" spans="1:26" ht="35.25" customHeight="1" x14ac:dyDescent="0.2">
      <c r="A16" s="16"/>
      <c r="B16" s="19" t="s">
        <v>7</v>
      </c>
      <c r="C16" s="63"/>
      <c r="D16" s="64"/>
      <c r="E16" s="64"/>
      <c r="F16" s="65"/>
      <c r="G16" s="66"/>
      <c r="H16" s="95"/>
      <c r="I16" s="67"/>
      <c r="J16" s="64"/>
      <c r="K16" s="65"/>
      <c r="L16" s="67"/>
      <c r="M16" s="64"/>
      <c r="N16" s="65"/>
      <c r="O16" s="41"/>
      <c r="P16" s="69"/>
      <c r="Q16" s="65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 x14ac:dyDescent="0.2">
      <c r="A17" s="16"/>
      <c r="B17" s="19" t="s">
        <v>19</v>
      </c>
      <c r="C17" s="93"/>
      <c r="D17" s="64"/>
      <c r="E17" s="64"/>
      <c r="F17" s="65"/>
      <c r="G17" s="66"/>
      <c r="H17" s="95"/>
      <c r="I17" s="94"/>
      <c r="J17" s="64"/>
      <c r="K17" s="65"/>
      <c r="L17" s="94"/>
      <c r="M17" s="64"/>
      <c r="N17" s="65"/>
      <c r="O17" s="41"/>
      <c r="P17" s="69"/>
      <c r="Q17" s="65"/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 x14ac:dyDescent="0.2">
      <c r="A18" s="16"/>
      <c r="B18" s="19" t="s">
        <v>20</v>
      </c>
      <c r="C18" s="93"/>
      <c r="D18" s="64"/>
      <c r="E18" s="64"/>
      <c r="F18" s="65"/>
      <c r="G18" s="66"/>
      <c r="H18" s="95"/>
      <c r="I18" s="94"/>
      <c r="J18" s="64"/>
      <c r="K18" s="65"/>
      <c r="L18" s="67"/>
      <c r="M18" s="64"/>
      <c r="N18" s="65"/>
      <c r="O18" s="41"/>
      <c r="P18" s="69"/>
      <c r="Q18" s="65"/>
      <c r="R18" s="1"/>
      <c r="S18" s="1"/>
      <c r="T18" s="1"/>
      <c r="U18" s="1"/>
      <c r="V18" s="1"/>
      <c r="W18" s="1"/>
      <c r="X18" s="1"/>
      <c r="Y18" s="1"/>
      <c r="Z18" s="1"/>
    </row>
    <row r="19" spans="1:26" ht="27" customHeight="1" x14ac:dyDescent="0.2">
      <c r="A19" s="16"/>
      <c r="B19" s="17" t="s">
        <v>21</v>
      </c>
      <c r="C19" s="100" t="s">
        <v>56</v>
      </c>
      <c r="D19" s="101"/>
      <c r="E19" s="101"/>
      <c r="F19" s="102"/>
      <c r="G19" s="103"/>
      <c r="H19" s="78"/>
      <c r="I19" s="96"/>
      <c r="J19" s="92"/>
      <c r="K19" s="78"/>
      <c r="L19" s="96"/>
      <c r="M19" s="92"/>
      <c r="N19" s="78"/>
      <c r="O19" s="16"/>
      <c r="P19" s="96"/>
      <c r="Q19" s="78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 x14ac:dyDescent="0.2">
      <c r="A20" s="16"/>
      <c r="B20" s="20" t="s">
        <v>15</v>
      </c>
      <c r="C20" s="63"/>
      <c r="D20" s="64"/>
      <c r="E20" s="64"/>
      <c r="F20" s="65"/>
      <c r="G20" s="66"/>
      <c r="H20" s="65"/>
      <c r="I20" s="67"/>
      <c r="J20" s="64"/>
      <c r="K20" s="65"/>
      <c r="L20" s="87"/>
      <c r="M20" s="64"/>
      <c r="N20" s="65"/>
      <c r="O20" s="42"/>
      <c r="P20" s="69"/>
      <c r="Q20" s="65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x14ac:dyDescent="0.2">
      <c r="A21" s="16"/>
      <c r="B21" s="20" t="s">
        <v>22</v>
      </c>
      <c r="C21" s="63"/>
      <c r="D21" s="64"/>
      <c r="E21" s="64"/>
      <c r="F21" s="65"/>
      <c r="G21" s="66"/>
      <c r="H21" s="65"/>
      <c r="I21" s="67"/>
      <c r="J21" s="64"/>
      <c r="K21" s="65"/>
      <c r="L21" s="67"/>
      <c r="M21" s="64"/>
      <c r="N21" s="65"/>
      <c r="O21" s="41"/>
      <c r="P21" s="69"/>
      <c r="Q21" s="65"/>
      <c r="R21" s="21"/>
      <c r="S21" s="1"/>
      <c r="T21" s="1"/>
      <c r="U21" s="1"/>
      <c r="V21" s="1"/>
      <c r="W21" s="1"/>
      <c r="X21" s="1"/>
      <c r="Y21" s="1"/>
      <c r="Z21" s="1"/>
    </row>
    <row r="22" spans="1:26" ht="27" customHeight="1" x14ac:dyDescent="0.2">
      <c r="A22" s="16"/>
      <c r="B22" s="20" t="s">
        <v>23</v>
      </c>
      <c r="C22" s="63"/>
      <c r="D22" s="64"/>
      <c r="E22" s="64"/>
      <c r="F22" s="65"/>
      <c r="G22" s="66"/>
      <c r="H22" s="65"/>
      <c r="I22" s="67"/>
      <c r="J22" s="64"/>
      <c r="K22" s="65"/>
      <c r="L22" s="67"/>
      <c r="M22" s="64"/>
      <c r="N22" s="65"/>
      <c r="O22" s="41"/>
      <c r="P22" s="69"/>
      <c r="Q22" s="65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 x14ac:dyDescent="0.2">
      <c r="A23" s="16"/>
      <c r="B23" s="17" t="s">
        <v>24</v>
      </c>
      <c r="C23" s="105" t="s">
        <v>57</v>
      </c>
      <c r="D23" s="92"/>
      <c r="E23" s="92"/>
      <c r="F23" s="78"/>
      <c r="G23" s="103"/>
      <c r="H23" s="78"/>
      <c r="I23" s="117"/>
      <c r="J23" s="92"/>
      <c r="K23" s="78"/>
      <c r="L23" s="117"/>
      <c r="M23" s="92"/>
      <c r="N23" s="78"/>
      <c r="O23" s="16"/>
      <c r="P23" s="77"/>
      <c r="Q23" s="78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7" customHeight="1" x14ac:dyDescent="0.2">
      <c r="A24" s="16"/>
      <c r="B24" s="20" t="s">
        <v>25</v>
      </c>
      <c r="C24" s="63"/>
      <c r="D24" s="64"/>
      <c r="E24" s="64"/>
      <c r="F24" s="65"/>
      <c r="G24" s="66"/>
      <c r="H24" s="65"/>
      <c r="I24" s="124"/>
      <c r="J24" s="64"/>
      <c r="K24" s="65"/>
      <c r="L24" s="68"/>
      <c r="M24" s="64"/>
      <c r="N24" s="65"/>
      <c r="O24" s="41"/>
      <c r="P24" s="69"/>
      <c r="Q24" s="65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27" customHeight="1" x14ac:dyDescent="0.2">
      <c r="A25" s="16"/>
      <c r="B25" s="20" t="s">
        <v>26</v>
      </c>
      <c r="C25" s="112"/>
      <c r="D25" s="113"/>
      <c r="E25" s="113"/>
      <c r="F25" s="114"/>
      <c r="G25" s="66"/>
      <c r="H25" s="65"/>
      <c r="I25" s="124"/>
      <c r="J25" s="64"/>
      <c r="K25" s="65"/>
      <c r="L25" s="68"/>
      <c r="M25" s="64"/>
      <c r="N25" s="65"/>
      <c r="O25" s="41"/>
      <c r="P25" s="69"/>
      <c r="Q25" s="65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27" customHeight="1" x14ac:dyDescent="0.2">
      <c r="A26" s="16"/>
      <c r="B26" s="20" t="s">
        <v>27</v>
      </c>
      <c r="C26" s="63"/>
      <c r="D26" s="64"/>
      <c r="E26" s="64"/>
      <c r="F26" s="65"/>
      <c r="G26" s="66"/>
      <c r="H26" s="65"/>
      <c r="I26" s="124"/>
      <c r="J26" s="64"/>
      <c r="K26" s="65"/>
      <c r="L26" s="68"/>
      <c r="M26" s="64"/>
      <c r="N26" s="65"/>
      <c r="O26" s="41"/>
      <c r="P26" s="69"/>
      <c r="Q26" s="65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27" customHeight="1" x14ac:dyDescent="0.2">
      <c r="A27" s="16"/>
      <c r="B27" s="17" t="s">
        <v>28</v>
      </c>
      <c r="C27" s="105" t="s">
        <v>58</v>
      </c>
      <c r="D27" s="92"/>
      <c r="E27" s="92"/>
      <c r="F27" s="78"/>
      <c r="G27" s="103"/>
      <c r="H27" s="78"/>
      <c r="I27" s="96"/>
      <c r="J27" s="92"/>
      <c r="K27" s="78"/>
      <c r="L27" s="117"/>
      <c r="M27" s="92"/>
      <c r="N27" s="78"/>
      <c r="O27" s="16"/>
      <c r="P27" s="77"/>
      <c r="Q27" s="78"/>
      <c r="R27" s="1"/>
      <c r="S27" s="1"/>
      <c r="T27" s="1"/>
      <c r="U27" s="1"/>
      <c r="V27" s="1"/>
      <c r="W27" s="1"/>
      <c r="X27" s="1"/>
      <c r="Y27" s="1"/>
      <c r="Z27" s="1"/>
    </row>
    <row r="28" spans="1:26" ht="27" customHeight="1" x14ac:dyDescent="0.2">
      <c r="A28" s="28"/>
      <c r="B28" s="24" t="s">
        <v>40</v>
      </c>
      <c r="C28" s="107"/>
      <c r="D28" s="108"/>
      <c r="E28" s="108"/>
      <c r="F28" s="109"/>
      <c r="G28" s="110"/>
      <c r="H28" s="111"/>
      <c r="I28" s="122"/>
      <c r="J28" s="125"/>
      <c r="K28" s="123"/>
      <c r="L28" s="126"/>
      <c r="M28" s="127"/>
      <c r="N28" s="128"/>
      <c r="O28" s="41"/>
      <c r="P28" s="122"/>
      <c r="Q28" s="123"/>
      <c r="R28" s="1"/>
      <c r="S28" s="1"/>
      <c r="T28" s="1"/>
      <c r="U28" s="1"/>
      <c r="V28" s="1"/>
      <c r="W28" s="1"/>
      <c r="X28" s="1"/>
      <c r="Y28" s="1"/>
      <c r="Z28" s="1"/>
    </row>
    <row r="29" spans="1:26" ht="27" customHeight="1" x14ac:dyDescent="0.2">
      <c r="A29" s="28"/>
      <c r="B29" s="24" t="s">
        <v>59</v>
      </c>
      <c r="C29" s="30"/>
      <c r="D29" s="31"/>
      <c r="E29" s="31"/>
      <c r="F29" s="32"/>
      <c r="G29" s="33"/>
      <c r="H29" s="34"/>
      <c r="I29" s="35"/>
      <c r="J29" s="37"/>
      <c r="K29" s="36"/>
      <c r="L29" s="38"/>
      <c r="M29" s="39"/>
      <c r="N29" s="40"/>
      <c r="O29" s="41"/>
      <c r="P29" s="35"/>
      <c r="Q29" s="36"/>
      <c r="R29" s="1"/>
      <c r="S29" s="1"/>
      <c r="T29" s="1"/>
      <c r="U29" s="1"/>
      <c r="V29" s="1"/>
      <c r="W29" s="1"/>
      <c r="X29" s="1"/>
      <c r="Y29" s="1"/>
      <c r="Z29" s="1"/>
    </row>
    <row r="30" spans="1:26" ht="27" customHeight="1" x14ac:dyDescent="0.2">
      <c r="A30" s="28"/>
      <c r="B30" s="24" t="s">
        <v>60</v>
      </c>
      <c r="C30" s="30"/>
      <c r="D30" s="31"/>
      <c r="E30" s="31"/>
      <c r="F30" s="32"/>
      <c r="G30" s="33"/>
      <c r="H30" s="34"/>
      <c r="I30" s="35"/>
      <c r="J30" s="37"/>
      <c r="K30" s="36"/>
      <c r="L30" s="38"/>
      <c r="M30" s="39"/>
      <c r="N30" s="40"/>
      <c r="O30" s="41"/>
      <c r="P30" s="35"/>
      <c r="Q30" s="36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 x14ac:dyDescent="0.2">
      <c r="A31" s="16"/>
      <c r="B31" s="17" t="s">
        <v>29</v>
      </c>
      <c r="C31" s="105" t="s">
        <v>64</v>
      </c>
      <c r="D31" s="92"/>
      <c r="E31" s="92"/>
      <c r="F31" s="78"/>
      <c r="G31" s="103"/>
      <c r="H31" s="78"/>
      <c r="I31" s="117"/>
      <c r="J31" s="92"/>
      <c r="K31" s="78"/>
      <c r="L31" s="117"/>
      <c r="M31" s="92"/>
      <c r="N31" s="78"/>
      <c r="O31" s="16"/>
      <c r="P31" s="77"/>
      <c r="Q31" s="78"/>
      <c r="R31" s="1"/>
      <c r="S31" s="1"/>
      <c r="T31" s="1"/>
      <c r="U31" s="1"/>
      <c r="V31" s="1"/>
      <c r="W31" s="1"/>
      <c r="X31" s="1"/>
      <c r="Y31" s="1"/>
      <c r="Z31" s="1"/>
    </row>
    <row r="32" spans="1:26" ht="27" customHeight="1" x14ac:dyDescent="0.2">
      <c r="A32" s="16"/>
      <c r="B32" s="20" t="s">
        <v>30</v>
      </c>
      <c r="C32" s="63"/>
      <c r="D32" s="64"/>
      <c r="E32" s="64"/>
      <c r="F32" s="65"/>
      <c r="G32" s="66"/>
      <c r="H32" s="65"/>
      <c r="I32" s="67"/>
      <c r="J32" s="64"/>
      <c r="K32" s="65"/>
      <c r="L32" s="68"/>
      <c r="M32" s="64"/>
      <c r="N32" s="65"/>
      <c r="O32" s="41"/>
      <c r="P32" s="69"/>
      <c r="Q32" s="65"/>
      <c r="R32" s="1"/>
      <c r="S32" s="1"/>
      <c r="T32" s="1"/>
      <c r="U32" s="1"/>
      <c r="V32" s="1"/>
      <c r="W32" s="1"/>
      <c r="X32" s="1"/>
      <c r="Y32" s="1"/>
      <c r="Z32" s="1"/>
    </row>
    <row r="33" spans="1:26" ht="27" customHeight="1" x14ac:dyDescent="0.2">
      <c r="A33" s="16"/>
      <c r="B33" s="29" t="s">
        <v>62</v>
      </c>
      <c r="C33" s="63"/>
      <c r="D33" s="64"/>
      <c r="E33" s="64"/>
      <c r="F33" s="65"/>
      <c r="G33" s="66"/>
      <c r="H33" s="65"/>
      <c r="I33" s="67"/>
      <c r="J33" s="64"/>
      <c r="K33" s="65"/>
      <c r="L33" s="68"/>
      <c r="M33" s="64"/>
      <c r="N33" s="65"/>
      <c r="O33" s="41"/>
      <c r="P33" s="69"/>
      <c r="Q33" s="65"/>
      <c r="R33" s="1"/>
      <c r="S33" s="1"/>
      <c r="T33" s="1"/>
      <c r="U33" s="1"/>
      <c r="V33" s="1"/>
      <c r="W33" s="1"/>
      <c r="X33" s="1"/>
      <c r="Y33" s="1"/>
      <c r="Z33" s="1"/>
    </row>
    <row r="34" spans="1:26" ht="27" customHeight="1" x14ac:dyDescent="0.2">
      <c r="A34" s="58"/>
      <c r="B34" s="52" t="s">
        <v>63</v>
      </c>
      <c r="C34" s="70"/>
      <c r="D34" s="71"/>
      <c r="E34" s="71"/>
      <c r="F34" s="72"/>
      <c r="G34" s="73"/>
      <c r="H34" s="72"/>
      <c r="I34" s="74"/>
      <c r="J34" s="71"/>
      <c r="K34" s="72"/>
      <c r="L34" s="75"/>
      <c r="M34" s="71"/>
      <c r="N34" s="72"/>
      <c r="O34" s="53"/>
      <c r="P34" s="76"/>
      <c r="Q34" s="72"/>
      <c r="R34" s="1"/>
      <c r="S34" s="1"/>
      <c r="T34" s="1"/>
      <c r="U34" s="1"/>
      <c r="V34" s="1"/>
      <c r="W34" s="1"/>
      <c r="X34" s="1"/>
      <c r="Y34" s="1"/>
      <c r="Z34" s="1"/>
    </row>
    <row r="35" spans="1:26" ht="27" customHeight="1" x14ac:dyDescent="0.2">
      <c r="A35" s="57"/>
      <c r="B35" s="56" t="s">
        <v>31</v>
      </c>
      <c r="C35" s="106" t="s">
        <v>32</v>
      </c>
      <c r="D35" s="83"/>
      <c r="E35" s="83"/>
      <c r="F35" s="83"/>
      <c r="G35" s="115"/>
      <c r="H35" s="83"/>
      <c r="I35" s="121"/>
      <c r="J35" s="83"/>
      <c r="K35" s="83"/>
      <c r="L35" s="121"/>
      <c r="M35" s="83"/>
      <c r="N35" s="83"/>
      <c r="O35" s="57"/>
      <c r="P35" s="82"/>
      <c r="Q35" s="83"/>
      <c r="R35" s="1"/>
      <c r="S35" s="1"/>
      <c r="T35" s="1"/>
      <c r="U35" s="1"/>
      <c r="V35" s="1"/>
      <c r="W35" s="1"/>
      <c r="X35" s="1"/>
      <c r="Y35" s="1"/>
      <c r="Z35" s="1"/>
    </row>
    <row r="36" spans="1:26" ht="46.5" customHeight="1" x14ac:dyDescent="0.2">
      <c r="A36" s="59"/>
      <c r="B36" s="54" t="s">
        <v>33</v>
      </c>
      <c r="C36" s="104"/>
      <c r="D36" s="85"/>
      <c r="E36" s="85"/>
      <c r="F36" s="86"/>
      <c r="G36" s="119"/>
      <c r="H36" s="86"/>
      <c r="I36" s="84"/>
      <c r="J36" s="85"/>
      <c r="K36" s="86"/>
      <c r="L36" s="120"/>
      <c r="M36" s="85"/>
      <c r="N36" s="86"/>
      <c r="O36" s="55"/>
      <c r="P36" s="79"/>
      <c r="Q36" s="80"/>
      <c r="R36" s="1"/>
      <c r="S36" s="1"/>
      <c r="T36" s="1"/>
      <c r="U36" s="1"/>
      <c r="V36" s="1"/>
      <c r="W36" s="1"/>
      <c r="X36" s="1"/>
      <c r="Y36" s="1"/>
      <c r="Z36" s="1"/>
    </row>
    <row r="37" spans="1:26" ht="24.95" customHeight="1" x14ac:dyDescent="0.2">
      <c r="A37" s="25"/>
      <c r="B37" s="20" t="s">
        <v>34</v>
      </c>
      <c r="C37" s="63"/>
      <c r="D37" s="64"/>
      <c r="E37" s="64"/>
      <c r="F37" s="65"/>
      <c r="G37" s="66"/>
      <c r="H37" s="65"/>
      <c r="I37" s="88"/>
      <c r="J37" s="64"/>
      <c r="K37" s="65"/>
      <c r="L37" s="68"/>
      <c r="M37" s="64"/>
      <c r="N37" s="65"/>
      <c r="O37" s="41"/>
      <c r="P37" s="69"/>
      <c r="Q37" s="81"/>
      <c r="R37" s="1"/>
      <c r="S37" s="1"/>
      <c r="T37" s="1"/>
      <c r="U37" s="1"/>
      <c r="V37" s="1"/>
      <c r="W37" s="1"/>
      <c r="X37" s="1"/>
      <c r="Y37" s="1"/>
      <c r="Z37" s="1"/>
    </row>
    <row r="38" spans="1:26" ht="24.95" customHeight="1" x14ac:dyDescent="0.2">
      <c r="A38" s="25"/>
      <c r="B38" s="20" t="s">
        <v>35</v>
      </c>
      <c r="C38" s="63"/>
      <c r="D38" s="64"/>
      <c r="E38" s="64"/>
      <c r="F38" s="65"/>
      <c r="G38" s="66"/>
      <c r="H38" s="65"/>
      <c r="I38" s="88"/>
      <c r="J38" s="64"/>
      <c r="K38" s="65"/>
      <c r="L38" s="68"/>
      <c r="M38" s="64"/>
      <c r="N38" s="65"/>
      <c r="O38" s="41"/>
      <c r="P38" s="69"/>
      <c r="Q38" s="8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44"/>
      <c r="B39" s="45"/>
      <c r="C39" s="46"/>
      <c r="D39" s="46"/>
      <c r="E39" s="46"/>
      <c r="F39" s="46"/>
      <c r="G39" s="47"/>
      <c r="H39" s="47"/>
      <c r="I39" s="48"/>
      <c r="J39" s="48"/>
      <c r="K39" s="48"/>
      <c r="L39" s="49"/>
      <c r="M39" s="49"/>
      <c r="N39" s="49"/>
      <c r="O39" s="44"/>
      <c r="P39" s="50"/>
      <c r="Q39" s="50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44"/>
      <c r="B40" s="45"/>
      <c r="C40" s="46"/>
      <c r="D40" s="46"/>
      <c r="E40" s="46"/>
      <c r="F40" s="46"/>
      <c r="G40" s="47"/>
      <c r="H40" s="47"/>
      <c r="I40" s="48"/>
      <c r="J40" s="48"/>
      <c r="K40" s="48"/>
      <c r="L40" s="49"/>
      <c r="M40" s="49"/>
      <c r="N40" s="49"/>
      <c r="O40" s="44"/>
      <c r="P40" s="50"/>
      <c r="Q40" s="50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44"/>
      <c r="B41" s="44"/>
      <c r="C41" s="44"/>
      <c r="D41" s="44"/>
      <c r="E41" s="44"/>
      <c r="F41" s="44"/>
      <c r="G41" s="51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44"/>
      <c r="B42" s="44"/>
      <c r="C42" s="44"/>
      <c r="D42" s="44"/>
      <c r="E42" s="44"/>
      <c r="F42" s="44"/>
      <c r="G42" s="51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44"/>
      <c r="B43" s="44"/>
      <c r="C43" s="44"/>
      <c r="D43" s="44"/>
      <c r="E43" s="44"/>
      <c r="F43" s="44"/>
      <c r="G43" s="51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44"/>
      <c r="B44" s="44"/>
      <c r="C44" s="44"/>
      <c r="D44" s="44"/>
      <c r="E44" s="44"/>
      <c r="F44" s="44"/>
      <c r="G44" s="51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44"/>
      <c r="B45" s="44"/>
      <c r="C45" s="44"/>
      <c r="D45" s="44"/>
      <c r="E45" s="44"/>
      <c r="F45" s="44"/>
      <c r="G45" s="51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44"/>
      <c r="B46" s="44"/>
      <c r="C46" s="44"/>
      <c r="D46" s="44"/>
      <c r="E46" s="44"/>
      <c r="F46" s="44"/>
      <c r="G46" s="51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44"/>
      <c r="B47" s="44"/>
      <c r="C47" s="44"/>
      <c r="D47" s="44"/>
      <c r="E47" s="44"/>
      <c r="F47" s="44"/>
      <c r="G47" s="51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44"/>
      <c r="B48" s="44"/>
      <c r="C48" s="44"/>
      <c r="D48" s="44"/>
      <c r="E48" s="44"/>
      <c r="F48" s="44"/>
      <c r="G48" s="51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44"/>
      <c r="B49" s="44"/>
      <c r="C49" s="44"/>
      <c r="D49" s="44"/>
      <c r="E49" s="44"/>
      <c r="F49" s="44"/>
      <c r="G49" s="51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44"/>
      <c r="B50" s="44"/>
      <c r="C50" s="44"/>
      <c r="D50" s="44"/>
      <c r="E50" s="44"/>
      <c r="F50" s="44"/>
      <c r="G50" s="51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44"/>
      <c r="B51" s="44"/>
      <c r="C51" s="44"/>
      <c r="D51" s="44"/>
      <c r="E51" s="44"/>
      <c r="F51" s="44"/>
      <c r="G51" s="51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44"/>
      <c r="B52" s="44"/>
      <c r="C52" s="44"/>
      <c r="D52" s="44"/>
      <c r="E52" s="44"/>
      <c r="F52" s="44"/>
      <c r="G52" s="51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44"/>
      <c r="B53" s="44"/>
      <c r="C53" s="44"/>
      <c r="D53" s="44"/>
      <c r="E53" s="44"/>
      <c r="F53" s="44"/>
      <c r="G53" s="51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44"/>
      <c r="B54" s="44"/>
      <c r="C54" s="44"/>
      <c r="D54" s="44"/>
      <c r="E54" s="44"/>
      <c r="F54" s="44"/>
      <c r="G54" s="51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44"/>
      <c r="B55" s="44"/>
      <c r="C55" s="44"/>
      <c r="D55" s="44"/>
      <c r="E55" s="44"/>
      <c r="F55" s="44"/>
      <c r="G55" s="51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44"/>
      <c r="B56" s="44"/>
      <c r="C56" s="44"/>
      <c r="D56" s="44"/>
      <c r="E56" s="44"/>
      <c r="F56" s="44"/>
      <c r="G56" s="51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44"/>
      <c r="B57" s="44"/>
      <c r="C57" s="44"/>
      <c r="D57" s="44"/>
      <c r="E57" s="44"/>
      <c r="F57" s="44"/>
      <c r="G57" s="51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44"/>
      <c r="B58" s="44"/>
      <c r="C58" s="44"/>
      <c r="D58" s="44"/>
      <c r="E58" s="44"/>
      <c r="F58" s="44"/>
      <c r="G58" s="51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44"/>
      <c r="B59" s="44"/>
      <c r="C59" s="44"/>
      <c r="D59" s="44"/>
      <c r="E59" s="44"/>
      <c r="F59" s="44"/>
      <c r="G59" s="51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44"/>
      <c r="B60" s="44"/>
      <c r="C60" s="44"/>
      <c r="D60" s="44"/>
      <c r="E60" s="44"/>
      <c r="F60" s="44"/>
      <c r="G60" s="51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44"/>
      <c r="B61" s="44"/>
      <c r="C61" s="44"/>
      <c r="D61" s="44"/>
      <c r="E61" s="44"/>
      <c r="F61" s="44"/>
      <c r="G61" s="51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44"/>
      <c r="B62" s="44"/>
      <c r="C62" s="44"/>
      <c r="D62" s="44"/>
      <c r="E62" s="44"/>
      <c r="F62" s="44"/>
      <c r="G62" s="51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44"/>
      <c r="B63" s="44"/>
      <c r="C63" s="44"/>
      <c r="D63" s="44"/>
      <c r="E63" s="44"/>
      <c r="F63" s="44"/>
      <c r="G63" s="51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44"/>
      <c r="B64" s="44"/>
      <c r="C64" s="44"/>
      <c r="D64" s="44"/>
      <c r="E64" s="44"/>
      <c r="F64" s="44"/>
      <c r="G64" s="51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44"/>
      <c r="B65" s="44"/>
      <c r="C65" s="44"/>
      <c r="D65" s="44"/>
      <c r="E65" s="44"/>
      <c r="F65" s="44"/>
      <c r="G65" s="51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44"/>
      <c r="B66" s="44"/>
      <c r="C66" s="44"/>
      <c r="D66" s="44"/>
      <c r="E66" s="44"/>
      <c r="F66" s="44"/>
      <c r="G66" s="51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44"/>
      <c r="B67" s="44"/>
      <c r="C67" s="44"/>
      <c r="D67" s="44"/>
      <c r="E67" s="44"/>
      <c r="F67" s="44"/>
      <c r="G67" s="51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44"/>
      <c r="B68" s="44"/>
      <c r="C68" s="44"/>
      <c r="D68" s="44"/>
      <c r="E68" s="44"/>
      <c r="F68" s="44"/>
      <c r="G68" s="51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44"/>
      <c r="B69" s="44"/>
      <c r="C69" s="44"/>
      <c r="D69" s="44"/>
      <c r="E69" s="44"/>
      <c r="F69" s="44"/>
      <c r="G69" s="51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44"/>
      <c r="B70" s="44"/>
      <c r="C70" s="44"/>
      <c r="D70" s="44"/>
      <c r="E70" s="44"/>
      <c r="F70" s="44"/>
      <c r="G70" s="51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44"/>
      <c r="B71" s="44"/>
      <c r="C71" s="44"/>
      <c r="D71" s="44"/>
      <c r="E71" s="44"/>
      <c r="F71" s="44"/>
      <c r="G71" s="51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44"/>
      <c r="B72" s="44"/>
      <c r="C72" s="44"/>
      <c r="D72" s="44"/>
      <c r="E72" s="44"/>
      <c r="F72" s="44"/>
      <c r="G72" s="51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44"/>
      <c r="B73" s="44"/>
      <c r="C73" s="44"/>
      <c r="D73" s="44"/>
      <c r="E73" s="44"/>
      <c r="F73" s="44"/>
      <c r="G73" s="51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44"/>
      <c r="B74" s="44"/>
      <c r="C74" s="44"/>
      <c r="D74" s="44"/>
      <c r="E74" s="44"/>
      <c r="F74" s="44"/>
      <c r="G74" s="51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44"/>
      <c r="B75" s="44"/>
      <c r="C75" s="44"/>
      <c r="D75" s="44"/>
      <c r="E75" s="44"/>
      <c r="F75" s="44"/>
      <c r="G75" s="51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2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2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2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2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2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2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2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2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2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2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2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2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2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2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2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2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2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2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2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2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2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2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2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2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2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2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2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2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2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2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2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2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2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2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2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2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2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2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2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2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2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2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2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2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2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2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2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2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2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2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2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2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2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2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2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2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2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2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2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2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2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2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2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2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2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2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2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2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2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2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2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2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2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2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2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2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2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2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2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2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2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2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2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2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2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2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2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2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2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2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2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2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2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2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2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2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2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2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2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2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2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2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2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2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2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2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2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2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2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2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2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2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2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2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2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2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2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2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2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2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2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2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2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2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2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2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2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2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2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2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2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2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2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2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2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2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2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2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2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2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2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2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2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2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2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2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2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2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2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2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2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2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2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2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2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2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2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2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2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2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2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2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2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2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2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2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2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2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2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2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2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2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2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2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2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2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2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2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2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2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2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2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2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2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2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2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2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2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2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2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2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2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2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2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2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2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2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2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2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2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2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2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2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2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2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2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2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2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2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2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2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2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2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2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2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2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2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2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2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2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2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2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2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2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2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2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2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2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2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2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2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2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2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2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2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2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2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2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2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2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2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2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2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2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2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2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2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2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2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2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2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2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2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2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2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2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2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2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2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2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2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2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2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2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2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2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2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2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2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2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2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2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2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2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2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2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2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2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2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2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2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2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2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2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2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2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2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2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2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2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2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2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2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2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2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2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2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2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2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2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2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2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2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2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2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2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2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2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2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2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2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2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2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2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2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2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2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2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2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2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2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2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2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2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2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2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2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2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2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2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2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2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2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2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2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2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2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2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2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2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2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2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2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2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2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2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2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2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2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2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2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2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2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2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2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2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2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2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2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2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2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2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2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2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2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2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2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2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2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2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2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2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2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2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2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2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2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2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2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2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2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2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2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2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2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2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2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2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2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2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2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2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2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2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2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2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2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2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2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2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2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2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2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2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2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2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2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2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2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2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2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2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2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2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2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2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2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2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2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2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2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2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2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2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2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2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2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2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2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2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2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2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2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2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2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2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2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2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2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2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2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2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2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2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2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2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2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2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2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2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2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2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2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2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2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2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2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2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2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2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2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2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2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2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2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2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2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2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2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2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2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2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2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2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2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2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2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2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2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2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2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2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2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2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2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2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2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2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2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2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2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2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2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2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2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2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2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2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2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2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2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2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2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2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2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2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2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2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2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2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2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2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2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2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2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2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2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2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2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2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2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2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2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2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2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2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2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2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2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2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2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2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2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2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2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2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2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2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2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2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2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2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2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2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2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2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2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2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2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2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2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2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2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2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2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2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2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2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2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2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2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2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2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2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2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2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2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2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2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2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2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2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2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2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2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2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2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2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2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2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2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2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2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2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2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2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2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2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2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2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2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2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2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2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2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2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2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2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2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2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2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2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2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2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2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2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2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2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2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2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2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2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2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2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2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2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2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2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2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2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2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2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2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2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2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2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2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2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2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2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2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2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2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2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2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2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2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2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2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2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2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2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2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2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2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2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2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2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2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2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2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2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2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2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2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2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2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2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2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2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2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2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2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2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2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2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2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2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2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2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2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2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2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2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2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2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2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2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2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2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2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2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2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2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2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2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2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2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2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2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2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2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2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2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2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2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2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2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2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2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2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2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2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2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2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2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2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2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2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2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2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2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2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2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2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2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2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2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2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2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2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2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2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2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2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2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2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2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2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2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2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2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2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2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2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2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2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2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2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2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2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2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2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2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2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2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2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2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2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2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2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2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2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2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2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2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2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2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2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2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2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2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2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2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2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2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2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2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2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2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2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2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2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2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2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2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2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2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2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2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2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2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2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2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2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2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2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2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2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2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2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2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2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2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2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2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2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2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2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2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2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2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2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2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2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2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2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2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2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2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2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2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2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2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2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2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2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2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2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2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2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2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2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2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2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2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2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2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2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2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2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2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2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2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2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2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2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2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2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2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2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2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2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2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2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2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2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2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2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2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2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2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2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2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2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2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2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2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2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2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2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2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2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2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2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2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2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2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2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2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2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2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2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2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2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2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2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2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2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2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2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2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2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2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2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2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2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2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2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2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2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2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2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2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2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2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2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2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2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2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2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2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2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2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2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2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2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2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2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2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2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</sheetData>
  <mergeCells count="128">
    <mergeCell ref="A6:Q6"/>
    <mergeCell ref="A7:Q7"/>
    <mergeCell ref="A8:Q8"/>
    <mergeCell ref="A9:Q9"/>
    <mergeCell ref="A10:Q10"/>
    <mergeCell ref="A11:Q11"/>
    <mergeCell ref="A12:Q12"/>
    <mergeCell ref="A13:Q13"/>
    <mergeCell ref="P38:Q38"/>
    <mergeCell ref="P25:Q25"/>
    <mergeCell ref="L25:N25"/>
    <mergeCell ref="L27:N27"/>
    <mergeCell ref="L36:N36"/>
    <mergeCell ref="L38:N38"/>
    <mergeCell ref="L37:N37"/>
    <mergeCell ref="L23:N23"/>
    <mergeCell ref="G24:H24"/>
    <mergeCell ref="L35:N35"/>
    <mergeCell ref="P28:Q28"/>
    <mergeCell ref="I37:K37"/>
    <mergeCell ref="I25:K25"/>
    <mergeCell ref="I28:K28"/>
    <mergeCell ref="L28:N28"/>
    <mergeCell ref="G31:H31"/>
    <mergeCell ref="G26:H26"/>
    <mergeCell ref="G27:H27"/>
    <mergeCell ref="I35:K35"/>
    <mergeCell ref="I24:K24"/>
    <mergeCell ref="I23:K23"/>
    <mergeCell ref="I27:K27"/>
    <mergeCell ref="I26:K26"/>
    <mergeCell ref="G14:H14"/>
    <mergeCell ref="L31:N31"/>
    <mergeCell ref="L32:N32"/>
    <mergeCell ref="L14:N14"/>
    <mergeCell ref="L15:N15"/>
    <mergeCell ref="L16:N16"/>
    <mergeCell ref="L17:N17"/>
    <mergeCell ref="I15:K15"/>
    <mergeCell ref="P14:Q14"/>
    <mergeCell ref="I14:K14"/>
    <mergeCell ref="G22:H22"/>
    <mergeCell ref="G23:H23"/>
    <mergeCell ref="I31:K31"/>
    <mergeCell ref="I32:K32"/>
    <mergeCell ref="G15:H15"/>
    <mergeCell ref="L19:N19"/>
    <mergeCell ref="L22:N22"/>
    <mergeCell ref="I22:K22"/>
    <mergeCell ref="I21:K21"/>
    <mergeCell ref="I20:K20"/>
    <mergeCell ref="A4:Q4"/>
    <mergeCell ref="A5:Q5"/>
    <mergeCell ref="C38:F38"/>
    <mergeCell ref="C37:F37"/>
    <mergeCell ref="G21:H21"/>
    <mergeCell ref="G37:H37"/>
    <mergeCell ref="C23:F23"/>
    <mergeCell ref="C24:F24"/>
    <mergeCell ref="C27:F27"/>
    <mergeCell ref="C26:F26"/>
    <mergeCell ref="C31:F31"/>
    <mergeCell ref="C35:F35"/>
    <mergeCell ref="C32:F32"/>
    <mergeCell ref="C28:F28"/>
    <mergeCell ref="G28:H28"/>
    <mergeCell ref="C25:F25"/>
    <mergeCell ref="G35:H35"/>
    <mergeCell ref="G32:H32"/>
    <mergeCell ref="G25:H25"/>
    <mergeCell ref="G36:H36"/>
    <mergeCell ref="P19:Q19"/>
    <mergeCell ref="G18:H18"/>
    <mergeCell ref="P15:Q15"/>
    <mergeCell ref="P18:Q18"/>
    <mergeCell ref="P17:Q17"/>
    <mergeCell ref="P16:Q16"/>
    <mergeCell ref="I19:K19"/>
    <mergeCell ref="I18:K18"/>
    <mergeCell ref="L18:N18"/>
    <mergeCell ref="G19:H19"/>
    <mergeCell ref="C22:F22"/>
    <mergeCell ref="I36:K36"/>
    <mergeCell ref="L24:N24"/>
    <mergeCell ref="L26:N26"/>
    <mergeCell ref="L20:N20"/>
    <mergeCell ref="L21:N21"/>
    <mergeCell ref="I38:K38"/>
    <mergeCell ref="G38:H38"/>
    <mergeCell ref="A2:F2"/>
    <mergeCell ref="A3:F3"/>
    <mergeCell ref="C14:F14"/>
    <mergeCell ref="C17:F17"/>
    <mergeCell ref="I16:K16"/>
    <mergeCell ref="I17:K17"/>
    <mergeCell ref="G16:H16"/>
    <mergeCell ref="G17:H17"/>
    <mergeCell ref="C15:F15"/>
    <mergeCell ref="C16:F16"/>
    <mergeCell ref="C18:F18"/>
    <mergeCell ref="C19:F19"/>
    <mergeCell ref="C21:F21"/>
    <mergeCell ref="C20:F20"/>
    <mergeCell ref="G20:H20"/>
    <mergeCell ref="C36:F36"/>
    <mergeCell ref="P26:Q26"/>
    <mergeCell ref="P27:Q27"/>
    <mergeCell ref="P36:Q36"/>
    <mergeCell ref="P37:Q37"/>
    <mergeCell ref="P23:Q23"/>
    <mergeCell ref="P24:Q24"/>
    <mergeCell ref="P35:Q35"/>
    <mergeCell ref="P31:Q31"/>
    <mergeCell ref="P32:Q32"/>
    <mergeCell ref="G2:N2"/>
    <mergeCell ref="C33:F33"/>
    <mergeCell ref="G33:H33"/>
    <mergeCell ref="I33:K33"/>
    <mergeCell ref="L33:N33"/>
    <mergeCell ref="P33:Q33"/>
    <mergeCell ref="C34:F34"/>
    <mergeCell ref="G34:H34"/>
    <mergeCell ref="I34:K34"/>
    <mergeCell ref="L34:N34"/>
    <mergeCell ref="P34:Q34"/>
    <mergeCell ref="P21:Q21"/>
    <mergeCell ref="P22:Q22"/>
    <mergeCell ref="P20:Q20"/>
  </mergeCells>
  <pageMargins left="0.7" right="0.7" top="0.75" bottom="0.75" header="0.3" footer="0.3"/>
  <pageSetup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0D14-F59D-4633-ABFD-C14FAB062DD7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83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84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85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351DF-27CD-4ECB-9DF4-BBA7BD95E246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86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87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88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05EF-701A-4905-81F3-BB9894F9DBD9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89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90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91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7A92-9031-4561-ABE3-4805765F4EED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92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93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94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3B250-2615-4B3A-944C-996A2CC9915B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95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96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97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B7E59-AD4C-4D3D-8620-291FA853C7D2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98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99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100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25E3-8A3F-4BA1-A5D0-6FEFA1794C0C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101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102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103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9D30C-A7ED-44C0-BCCE-D5162FB3D57F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104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105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106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82C24-5439-4C2E-9443-1418AEDC88F1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41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42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43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F80EC-7E14-4E79-ABCD-926278F952B3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44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45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46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00"/>
  <sheetViews>
    <sheetView workbookViewId="0"/>
  </sheetViews>
  <sheetFormatPr defaultColWidth="14.42578125" defaultRowHeight="15" customHeight="1" x14ac:dyDescent="0.2"/>
  <cols>
    <col min="1" max="256" width="8" customWidth="1"/>
  </cols>
  <sheetData>
    <row r="1" spans="1:256" ht="12.75" customHeight="1" x14ac:dyDescent="0.2">
      <c r="A1" t="e">
        <f>IF('Strategic Summary'!$A4:$IV4,"AAAAAG69uAA=",0)</f>
        <v>#VALUE!</v>
      </c>
      <c r="B1" t="e">
        <f>AND('Strategic Summary'!A4,"AAAAAG69uAE=")</f>
        <v>#VALUE!</v>
      </c>
      <c r="C1" t="e">
        <f>AND('Strategic Summary'!B4,"AAAAAG69uAI=")</f>
        <v>#VALUE!</v>
      </c>
      <c r="D1" t="e">
        <f>AND('Strategic Summary'!C4,"AAAAAG69uAM=")</f>
        <v>#VALUE!</v>
      </c>
      <c r="E1" t="e">
        <f>AND('Strategic Summary'!D4,"AAAAAG69uAQ=")</f>
        <v>#VALUE!</v>
      </c>
      <c r="F1" t="e">
        <f>AND('Strategic Summary'!E4,"AAAAAG69uAU=")</f>
        <v>#VALUE!</v>
      </c>
      <c r="G1" t="e">
        <f>AND('Strategic Summary'!F4,"AAAAAG69uAY=")</f>
        <v>#VALUE!</v>
      </c>
      <c r="H1" t="e">
        <f>AND('Strategic Summary'!G4,"AAAAAG69uAc=")</f>
        <v>#VALUE!</v>
      </c>
      <c r="I1" t="e">
        <f>AND('Strategic Summary'!H4,"AAAAAG69uAg=")</f>
        <v>#VALUE!</v>
      </c>
      <c r="J1" t="e">
        <f>AND('Strategic Summary'!I4,"AAAAAG69uAk=")</f>
        <v>#VALUE!</v>
      </c>
      <c r="K1" t="e">
        <f>AND('Strategic Summary'!J4,"AAAAAG69uAo=")</f>
        <v>#VALUE!</v>
      </c>
      <c r="L1" t="e">
        <f>AND('Strategic Summary'!K4,"AAAAAG69uAs=")</f>
        <v>#VALUE!</v>
      </c>
      <c r="M1" t="e">
        <f>AND('Strategic Summary'!L4,"AAAAAG69uAw=")</f>
        <v>#VALUE!</v>
      </c>
      <c r="N1" t="e">
        <f>AND('Strategic Summary'!M4,"AAAAAG69uA0=")</f>
        <v>#VALUE!</v>
      </c>
      <c r="O1" t="e">
        <f>AND('Strategic Summary'!N4,"AAAAAG69uA4=")</f>
        <v>#VALUE!</v>
      </c>
      <c r="P1" t="e">
        <f>AND('Strategic Summary'!O4,"AAAAAG69uA8=")</f>
        <v>#VALUE!</v>
      </c>
      <c r="Q1" t="e">
        <f>AND('Strategic Summary'!P4,"AAAAAG69uBA=")</f>
        <v>#VALUE!</v>
      </c>
      <c r="R1" t="e">
        <f>AND('Strategic Summary'!Q4,"AAAAAG69uBE=")</f>
        <v>#VALUE!</v>
      </c>
      <c r="S1" t="e">
        <f>AND('Strategic Summary'!R4,"AAAAAG69uBI=")</f>
        <v>#VALUE!</v>
      </c>
      <c r="T1">
        <f>IF('Strategic Summary'!$A5:$IV5,"AAAAAG69uBM=",0)</f>
        <v>0</v>
      </c>
      <c r="U1" t="e">
        <f>AND('Strategic Summary'!A5,"AAAAAG69uBQ=")</f>
        <v>#VALUE!</v>
      </c>
      <c r="V1" t="e">
        <f>AND('Strategic Summary'!B5,"AAAAAG69uBU=")</f>
        <v>#VALUE!</v>
      </c>
      <c r="W1" t="e">
        <f>AND('Strategic Summary'!C5,"AAAAAG69uBY=")</f>
        <v>#VALUE!</v>
      </c>
      <c r="X1" t="e">
        <f>AND('Strategic Summary'!D5,"AAAAAG69uBc=")</f>
        <v>#VALUE!</v>
      </c>
      <c r="Y1" t="e">
        <f>AND('Strategic Summary'!E5,"AAAAAG69uBg=")</f>
        <v>#VALUE!</v>
      </c>
      <c r="Z1" t="e">
        <f>AND('Strategic Summary'!F5,"AAAAAG69uBk=")</f>
        <v>#VALUE!</v>
      </c>
      <c r="AA1" t="e">
        <f>AND('Strategic Summary'!G5,"AAAAAG69uBo=")</f>
        <v>#VALUE!</v>
      </c>
      <c r="AB1" t="e">
        <f>AND('Strategic Summary'!H5,"AAAAAG69uBs=")</f>
        <v>#VALUE!</v>
      </c>
      <c r="AC1" t="e">
        <f>AND('Strategic Summary'!I5,"AAAAAG69uBw=")</f>
        <v>#VALUE!</v>
      </c>
      <c r="AD1" t="e">
        <f>AND('Strategic Summary'!J5,"AAAAAG69uB0=")</f>
        <v>#VALUE!</v>
      </c>
      <c r="AE1" t="e">
        <f>AND('Strategic Summary'!K5,"AAAAAG69uB4=")</f>
        <v>#VALUE!</v>
      </c>
      <c r="AF1" t="e">
        <f>AND('Strategic Summary'!L5,"AAAAAG69uB8=")</f>
        <v>#VALUE!</v>
      </c>
      <c r="AG1" t="e">
        <f>AND('Strategic Summary'!M5,"AAAAAG69uCA=")</f>
        <v>#VALUE!</v>
      </c>
      <c r="AH1" t="e">
        <f>AND('Strategic Summary'!N5,"AAAAAG69uCE=")</f>
        <v>#VALUE!</v>
      </c>
      <c r="AI1" t="e">
        <f>AND('Strategic Summary'!O5,"AAAAAG69uCI=")</f>
        <v>#VALUE!</v>
      </c>
      <c r="AJ1" t="e">
        <f>AND('Strategic Summary'!P5,"AAAAAG69uCM=")</f>
        <v>#VALUE!</v>
      </c>
      <c r="AK1" t="e">
        <f>AND('Strategic Summary'!Q5,"AAAAAG69uCQ=")</f>
        <v>#VALUE!</v>
      </c>
      <c r="AL1" t="e">
        <f>AND('Strategic Summary'!R5,"AAAAAG69uCU=")</f>
        <v>#VALUE!</v>
      </c>
      <c r="AM1">
        <f>IF('Strategic Summary'!$A13:$IV13,"AAAAAG69uCY=",0)</f>
        <v>0</v>
      </c>
      <c r="AN1" t="e">
        <f>AND('Strategic Summary'!A13,"AAAAAG69uCc=")</f>
        <v>#VALUE!</v>
      </c>
      <c r="AO1" t="e">
        <f>AND('Strategic Summary'!B13,"AAAAAG69uCg=")</f>
        <v>#VALUE!</v>
      </c>
      <c r="AP1" t="e">
        <f>AND('Strategic Summary'!C13,"AAAAAG69uCk=")</f>
        <v>#VALUE!</v>
      </c>
      <c r="AQ1" t="e">
        <f>AND('Strategic Summary'!D13,"AAAAAG69uCo=")</f>
        <v>#VALUE!</v>
      </c>
      <c r="AR1" t="e">
        <f>AND('Strategic Summary'!E13,"AAAAAG69uCs=")</f>
        <v>#VALUE!</v>
      </c>
      <c r="AS1" t="e">
        <f>AND('Strategic Summary'!F13,"AAAAAG69uCw=")</f>
        <v>#VALUE!</v>
      </c>
      <c r="AT1" t="e">
        <f>AND('Strategic Summary'!G13,"AAAAAG69uC0=")</f>
        <v>#VALUE!</v>
      </c>
      <c r="AU1" t="e">
        <f>AND('Strategic Summary'!H13,"AAAAAG69uC4=")</f>
        <v>#VALUE!</v>
      </c>
      <c r="AV1" t="e">
        <f>AND('Strategic Summary'!I13,"AAAAAG69uC8=")</f>
        <v>#VALUE!</v>
      </c>
      <c r="AW1" t="e">
        <f>AND('Strategic Summary'!J13,"AAAAAG69uDA=")</f>
        <v>#VALUE!</v>
      </c>
      <c r="AX1" t="e">
        <f>AND('Strategic Summary'!K13,"AAAAAG69uDE=")</f>
        <v>#VALUE!</v>
      </c>
      <c r="AY1" t="e">
        <f>AND('Strategic Summary'!L13,"AAAAAG69uDI=")</f>
        <v>#VALUE!</v>
      </c>
      <c r="AZ1" t="e">
        <f>AND('Strategic Summary'!M13,"AAAAAG69uDM=")</f>
        <v>#VALUE!</v>
      </c>
      <c r="BA1" t="e">
        <f>AND('Strategic Summary'!N13,"AAAAAG69uDQ=")</f>
        <v>#VALUE!</v>
      </c>
      <c r="BB1" t="e">
        <f>AND('Strategic Summary'!O13,"AAAAAG69uDU=")</f>
        <v>#VALUE!</v>
      </c>
      <c r="BC1" t="e">
        <f>AND('Strategic Summary'!P13,"AAAAAG69uDY=")</f>
        <v>#VALUE!</v>
      </c>
      <c r="BD1" t="e">
        <f>AND('Strategic Summary'!Q13,"AAAAAG69uDc=")</f>
        <v>#VALUE!</v>
      </c>
      <c r="BE1" t="e">
        <f>AND('Strategic Summary'!R13,"AAAAAG69uDg=")</f>
        <v>#VALUE!</v>
      </c>
      <c r="BF1">
        <f>IF('Strategic Summary'!$A14:$IV14,"AAAAAG69uDk=",0)</f>
        <v>0</v>
      </c>
      <c r="BG1" t="e">
        <f>AND('Strategic Summary'!A14,"AAAAAG69uDo=")</f>
        <v>#VALUE!</v>
      </c>
      <c r="BH1" t="e">
        <f>AND('Strategic Summary'!B14,"AAAAAG69uDs=")</f>
        <v>#VALUE!</v>
      </c>
      <c r="BI1" t="e">
        <f>AND('Strategic Summary'!C14,"AAAAAG69uDw=")</f>
        <v>#VALUE!</v>
      </c>
      <c r="BJ1" t="e">
        <f>AND('Strategic Summary'!D14,"AAAAAG69uD0=")</f>
        <v>#VALUE!</v>
      </c>
      <c r="BK1" t="e">
        <f>AND('Strategic Summary'!E14,"AAAAAG69uD4=")</f>
        <v>#VALUE!</v>
      </c>
      <c r="BL1" t="e">
        <f>AND('Strategic Summary'!F14,"AAAAAG69uD8=")</f>
        <v>#VALUE!</v>
      </c>
      <c r="BM1" t="e">
        <f>AND('Strategic Summary'!G14,"AAAAAG69uEA=")</f>
        <v>#VALUE!</v>
      </c>
      <c r="BN1" t="e">
        <f>AND('Strategic Summary'!H14,"AAAAAG69uEE=")</f>
        <v>#VALUE!</v>
      </c>
      <c r="BO1" t="e">
        <f>AND('Strategic Summary'!I14,"AAAAAG69uEI=")</f>
        <v>#VALUE!</v>
      </c>
      <c r="BP1" t="e">
        <f>AND('Strategic Summary'!J14,"AAAAAG69uEM=")</f>
        <v>#VALUE!</v>
      </c>
      <c r="BQ1" t="e">
        <f>AND('Strategic Summary'!K14,"AAAAAG69uEQ=")</f>
        <v>#VALUE!</v>
      </c>
      <c r="BR1" t="e">
        <f>AND('Strategic Summary'!L14,"AAAAAG69uEU=")</f>
        <v>#VALUE!</v>
      </c>
      <c r="BS1" t="e">
        <f>AND('Strategic Summary'!M14,"AAAAAG69uEY=")</f>
        <v>#VALUE!</v>
      </c>
      <c r="BT1" t="e">
        <f>AND('Strategic Summary'!N14,"AAAAAG69uEc=")</f>
        <v>#VALUE!</v>
      </c>
      <c r="BU1" t="e">
        <f>AND('Strategic Summary'!O14,"AAAAAG69uEg=")</f>
        <v>#VALUE!</v>
      </c>
      <c r="BV1" t="e">
        <f>AND('Strategic Summary'!P14,"AAAAAG69uEk=")</f>
        <v>#VALUE!</v>
      </c>
      <c r="BW1" t="e">
        <f>AND('Strategic Summary'!Q14,"AAAAAG69uEo=")</f>
        <v>#VALUE!</v>
      </c>
      <c r="BX1" t="e">
        <f>AND('Strategic Summary'!R14,"AAAAAG69uEs=")</f>
        <v>#VALUE!</v>
      </c>
      <c r="BY1">
        <f>IF('Strategic Summary'!$A15:$IV15,"AAAAAG69uEw=",0)</f>
        <v>0</v>
      </c>
      <c r="BZ1" t="e">
        <f>AND('Strategic Summary'!A15,"AAAAAG69uE0=")</f>
        <v>#VALUE!</v>
      </c>
      <c r="CA1" t="e">
        <f>AND('Strategic Summary'!B15,"AAAAAG69uE4=")</f>
        <v>#VALUE!</v>
      </c>
      <c r="CB1" t="e">
        <f>AND('Strategic Summary'!C15,"AAAAAG69uE8=")</f>
        <v>#VALUE!</v>
      </c>
      <c r="CC1" t="e">
        <f>AND('Strategic Summary'!D15,"AAAAAG69uFA=")</f>
        <v>#VALUE!</v>
      </c>
      <c r="CD1" t="e">
        <f>AND('Strategic Summary'!E15,"AAAAAG69uFE=")</f>
        <v>#VALUE!</v>
      </c>
      <c r="CE1" t="e">
        <f>AND('Strategic Summary'!F15,"AAAAAG69uFI=")</f>
        <v>#VALUE!</v>
      </c>
      <c r="CF1" t="e">
        <f>AND('Strategic Summary'!G15,"AAAAAG69uFM=")</f>
        <v>#VALUE!</v>
      </c>
      <c r="CG1" t="e">
        <f>AND('Strategic Summary'!H15,"AAAAAG69uFQ=")</f>
        <v>#VALUE!</v>
      </c>
      <c r="CH1" t="e">
        <f>AND('Strategic Summary'!I15,"AAAAAG69uFU=")</f>
        <v>#VALUE!</v>
      </c>
      <c r="CI1" t="e">
        <f>AND('Strategic Summary'!J15,"AAAAAG69uFY=")</f>
        <v>#VALUE!</v>
      </c>
      <c r="CJ1" t="e">
        <f>AND('Strategic Summary'!K15,"AAAAAG69uFc=")</f>
        <v>#VALUE!</v>
      </c>
      <c r="CK1" t="e">
        <f>AND('Strategic Summary'!L15,"AAAAAG69uFg=")</f>
        <v>#VALUE!</v>
      </c>
      <c r="CL1" t="e">
        <f>AND('Strategic Summary'!M15,"AAAAAG69uFk=")</f>
        <v>#VALUE!</v>
      </c>
      <c r="CM1" t="e">
        <f>AND('Strategic Summary'!N15,"AAAAAG69uFo=")</f>
        <v>#VALUE!</v>
      </c>
      <c r="CN1" t="e">
        <f>AND('Strategic Summary'!O15,"AAAAAG69uFs=")</f>
        <v>#VALUE!</v>
      </c>
      <c r="CO1" t="e">
        <f>AND('Strategic Summary'!P15,"AAAAAG69uFw=")</f>
        <v>#VALUE!</v>
      </c>
      <c r="CP1" t="e">
        <f>AND('Strategic Summary'!Q15,"AAAAAG69uF0=")</f>
        <v>#VALUE!</v>
      </c>
      <c r="CQ1" t="e">
        <f>AND('Strategic Summary'!R15,"AAAAAG69uF4=")</f>
        <v>#VALUE!</v>
      </c>
      <c r="CR1">
        <f>IF('Strategic Summary'!$A16:$IV16,"AAAAAG69uF8=",0)</f>
        <v>0</v>
      </c>
      <c r="CS1" t="e">
        <f>AND('Strategic Summary'!A16,"AAAAAG69uGA=")</f>
        <v>#VALUE!</v>
      </c>
      <c r="CT1" t="e">
        <f>AND('Strategic Summary'!B16,"AAAAAG69uGE=")</f>
        <v>#VALUE!</v>
      </c>
      <c r="CU1" t="e">
        <f>AND('Strategic Summary'!C16,"AAAAAG69uGI=")</f>
        <v>#VALUE!</v>
      </c>
      <c r="CV1" t="e">
        <f>AND('Strategic Summary'!D16,"AAAAAG69uGM=")</f>
        <v>#VALUE!</v>
      </c>
      <c r="CW1" t="e">
        <f>AND('Strategic Summary'!E16,"AAAAAG69uGQ=")</f>
        <v>#VALUE!</v>
      </c>
      <c r="CX1" t="e">
        <f>AND('Strategic Summary'!F16,"AAAAAG69uGU=")</f>
        <v>#VALUE!</v>
      </c>
      <c r="CY1" t="e">
        <f>AND('Strategic Summary'!G16,"AAAAAG69uGY=")</f>
        <v>#VALUE!</v>
      </c>
      <c r="CZ1" t="e">
        <f>AND('Strategic Summary'!H16,"AAAAAG69uGc=")</f>
        <v>#VALUE!</v>
      </c>
      <c r="DA1" t="e">
        <f>AND('Strategic Summary'!I16,"AAAAAG69uGg=")</f>
        <v>#VALUE!</v>
      </c>
      <c r="DB1" t="e">
        <f>AND('Strategic Summary'!J16,"AAAAAG69uGk=")</f>
        <v>#VALUE!</v>
      </c>
      <c r="DC1" t="e">
        <f>AND('Strategic Summary'!K16,"AAAAAG69uGo=")</f>
        <v>#VALUE!</v>
      </c>
      <c r="DD1" t="e">
        <f>AND('Strategic Summary'!L16,"AAAAAG69uGs=")</f>
        <v>#VALUE!</v>
      </c>
      <c r="DE1" t="e">
        <f>AND('Strategic Summary'!M16,"AAAAAG69uGw=")</f>
        <v>#VALUE!</v>
      </c>
      <c r="DF1" t="e">
        <f>AND('Strategic Summary'!N16,"AAAAAG69uG0=")</f>
        <v>#VALUE!</v>
      </c>
      <c r="DG1" t="e">
        <f>AND('Strategic Summary'!O16,"AAAAAG69uG4=")</f>
        <v>#VALUE!</v>
      </c>
      <c r="DH1" t="e">
        <f>AND('Strategic Summary'!P16,"AAAAAG69uG8=")</f>
        <v>#VALUE!</v>
      </c>
      <c r="DI1" t="e">
        <f>AND('Strategic Summary'!Q16,"AAAAAG69uHA=")</f>
        <v>#VALUE!</v>
      </c>
      <c r="DJ1" t="e">
        <f>AND('Strategic Summary'!R16,"AAAAAG69uHE=")</f>
        <v>#VALUE!</v>
      </c>
      <c r="DK1">
        <f>IF('Strategic Summary'!$A17:$IV17,"AAAAAG69uHI=",0)</f>
        <v>0</v>
      </c>
      <c r="DL1" t="e">
        <f>AND('Strategic Summary'!A17,"AAAAAG69uHM=")</f>
        <v>#VALUE!</v>
      </c>
      <c r="DM1" t="e">
        <f>AND('Strategic Summary'!B17,"AAAAAG69uHQ=")</f>
        <v>#VALUE!</v>
      </c>
      <c r="DN1" t="e">
        <f>AND('Strategic Summary'!C17,"AAAAAG69uHU=")</f>
        <v>#VALUE!</v>
      </c>
      <c r="DO1" t="e">
        <f>AND('Strategic Summary'!D17,"AAAAAG69uHY=")</f>
        <v>#VALUE!</v>
      </c>
      <c r="DP1" t="e">
        <f>AND('Strategic Summary'!E17,"AAAAAG69uHc=")</f>
        <v>#VALUE!</v>
      </c>
      <c r="DQ1" t="e">
        <f>AND('Strategic Summary'!F17,"AAAAAG69uHg=")</f>
        <v>#VALUE!</v>
      </c>
      <c r="DR1" t="e">
        <f>AND('Strategic Summary'!G17,"AAAAAG69uHk=")</f>
        <v>#VALUE!</v>
      </c>
      <c r="DS1" t="e">
        <f>AND('Strategic Summary'!H17,"AAAAAG69uHo=")</f>
        <v>#VALUE!</v>
      </c>
      <c r="DT1" t="e">
        <f>AND('Strategic Summary'!I17,"AAAAAG69uHs=")</f>
        <v>#VALUE!</v>
      </c>
      <c r="DU1" t="e">
        <f>AND('Strategic Summary'!J17,"AAAAAG69uHw=")</f>
        <v>#VALUE!</v>
      </c>
      <c r="DV1" t="e">
        <f>AND('Strategic Summary'!K17,"AAAAAG69uH0=")</f>
        <v>#VALUE!</v>
      </c>
      <c r="DW1" t="e">
        <f>AND('Strategic Summary'!L17,"AAAAAG69uH4=")</f>
        <v>#VALUE!</v>
      </c>
      <c r="DX1" t="e">
        <f>AND('Strategic Summary'!M17,"AAAAAG69uH8=")</f>
        <v>#VALUE!</v>
      </c>
      <c r="DY1" t="e">
        <f>AND('Strategic Summary'!N17,"AAAAAG69uIA=")</f>
        <v>#VALUE!</v>
      </c>
      <c r="DZ1" t="e">
        <f>AND('Strategic Summary'!O17,"AAAAAG69uIE=")</f>
        <v>#VALUE!</v>
      </c>
      <c r="EA1" t="e">
        <f>AND('Strategic Summary'!P17,"AAAAAG69uII=")</f>
        <v>#VALUE!</v>
      </c>
      <c r="EB1" t="e">
        <f>AND('Strategic Summary'!Q17,"AAAAAG69uIM=")</f>
        <v>#VALUE!</v>
      </c>
      <c r="EC1" t="e">
        <f>AND('Strategic Summary'!R17,"AAAAAG69uIQ=")</f>
        <v>#VALUE!</v>
      </c>
      <c r="ED1">
        <f>IF('Strategic Summary'!$A18:$IV18,"AAAAAG69uIU=",0)</f>
        <v>0</v>
      </c>
      <c r="EE1" t="e">
        <f>AND('Strategic Summary'!A18,"AAAAAG69uIY=")</f>
        <v>#VALUE!</v>
      </c>
      <c r="EF1" t="e">
        <f>AND('Strategic Summary'!B18,"AAAAAG69uIc=")</f>
        <v>#VALUE!</v>
      </c>
      <c r="EG1" t="e">
        <f>AND('Strategic Summary'!C18,"AAAAAG69uIg=")</f>
        <v>#VALUE!</v>
      </c>
      <c r="EH1" t="e">
        <f>AND('Strategic Summary'!D18,"AAAAAG69uIk=")</f>
        <v>#VALUE!</v>
      </c>
      <c r="EI1" t="e">
        <f>AND('Strategic Summary'!E18,"AAAAAG69uIo=")</f>
        <v>#VALUE!</v>
      </c>
      <c r="EJ1" t="e">
        <f>AND('Strategic Summary'!F18,"AAAAAG69uIs=")</f>
        <v>#VALUE!</v>
      </c>
      <c r="EK1" t="e">
        <f>AND('Strategic Summary'!G18,"AAAAAG69uIw=")</f>
        <v>#VALUE!</v>
      </c>
      <c r="EL1" t="e">
        <f>AND('Strategic Summary'!H18,"AAAAAG69uI0=")</f>
        <v>#VALUE!</v>
      </c>
      <c r="EM1" t="e">
        <f>AND('Strategic Summary'!I18,"AAAAAG69uI4=")</f>
        <v>#VALUE!</v>
      </c>
      <c r="EN1" t="e">
        <f>AND('Strategic Summary'!J18,"AAAAAG69uI8=")</f>
        <v>#VALUE!</v>
      </c>
      <c r="EO1" t="e">
        <f>AND('Strategic Summary'!K18,"AAAAAG69uJA=")</f>
        <v>#VALUE!</v>
      </c>
      <c r="EP1" t="e">
        <f>AND('Strategic Summary'!L18,"AAAAAG69uJE=")</f>
        <v>#VALUE!</v>
      </c>
      <c r="EQ1" t="e">
        <f>AND('Strategic Summary'!M18,"AAAAAG69uJI=")</f>
        <v>#VALUE!</v>
      </c>
      <c r="ER1" t="e">
        <f>AND('Strategic Summary'!N18,"AAAAAG69uJM=")</f>
        <v>#VALUE!</v>
      </c>
      <c r="ES1" t="e">
        <f>AND('Strategic Summary'!O18,"AAAAAG69uJQ=")</f>
        <v>#VALUE!</v>
      </c>
      <c r="ET1" t="e">
        <f>AND('Strategic Summary'!P18,"AAAAAG69uJU=")</f>
        <v>#VALUE!</v>
      </c>
      <c r="EU1" t="e">
        <f>AND('Strategic Summary'!Q18,"AAAAAG69uJY=")</f>
        <v>#VALUE!</v>
      </c>
      <c r="EV1" t="e">
        <f>AND('Strategic Summary'!R18,"AAAAAG69uJc=")</f>
        <v>#VALUE!</v>
      </c>
      <c r="EW1" t="e">
        <f>IF('Strategic Summary'!#REF!,"AAAAAG69uJg=",0)</f>
        <v>#REF!</v>
      </c>
      <c r="EX1" t="e">
        <f>AND('Strategic Summary'!#REF!,"AAAAAG69uJk=")</f>
        <v>#REF!</v>
      </c>
      <c r="EY1" t="e">
        <f>AND('Strategic Summary'!#REF!,"AAAAAG69uJo=")</f>
        <v>#REF!</v>
      </c>
      <c r="EZ1" t="e">
        <f>AND('Strategic Summary'!#REF!,"AAAAAG69uJs=")</f>
        <v>#REF!</v>
      </c>
      <c r="FA1" t="e">
        <f>AND('Strategic Summary'!#REF!,"AAAAAG69uJw=")</f>
        <v>#REF!</v>
      </c>
      <c r="FB1" t="e">
        <f>AND('Strategic Summary'!#REF!,"AAAAAG69uJ0=")</f>
        <v>#REF!</v>
      </c>
      <c r="FC1" t="e">
        <f>AND('Strategic Summary'!#REF!,"AAAAAG69uJ4=")</f>
        <v>#REF!</v>
      </c>
      <c r="FD1" t="e">
        <f>AND('Strategic Summary'!#REF!,"AAAAAG69uJ8=")</f>
        <v>#REF!</v>
      </c>
      <c r="FE1" t="e">
        <f>AND('Strategic Summary'!#REF!,"AAAAAG69uKA=")</f>
        <v>#REF!</v>
      </c>
      <c r="FF1" t="e">
        <f>AND('Strategic Summary'!#REF!,"AAAAAG69uKE=")</f>
        <v>#REF!</v>
      </c>
      <c r="FG1" t="e">
        <f>AND('Strategic Summary'!#REF!,"AAAAAG69uKI=")</f>
        <v>#REF!</v>
      </c>
      <c r="FH1" t="e">
        <f>AND('Strategic Summary'!#REF!,"AAAAAG69uKM=")</f>
        <v>#REF!</v>
      </c>
      <c r="FI1" t="e">
        <f>AND('Strategic Summary'!#REF!,"AAAAAG69uKQ=")</f>
        <v>#REF!</v>
      </c>
      <c r="FJ1" t="e">
        <f>AND('Strategic Summary'!#REF!,"AAAAAG69uKU=")</f>
        <v>#REF!</v>
      </c>
      <c r="FK1" t="e">
        <f>AND('Strategic Summary'!#REF!,"AAAAAG69uKY=")</f>
        <v>#REF!</v>
      </c>
      <c r="FL1" t="e">
        <f>AND('Strategic Summary'!#REF!,"AAAAAG69uKc=")</f>
        <v>#REF!</v>
      </c>
      <c r="FM1" t="e">
        <f>AND('Strategic Summary'!#REF!,"AAAAAG69uKg=")</f>
        <v>#REF!</v>
      </c>
      <c r="FN1" t="e">
        <f>AND('Strategic Summary'!#REF!,"AAAAAG69uKk=")</f>
        <v>#REF!</v>
      </c>
      <c r="FO1" t="e">
        <f>AND('Strategic Summary'!#REF!,"AAAAAG69uKo=")</f>
        <v>#REF!</v>
      </c>
      <c r="FP1">
        <f>IF('Strategic Summary'!$A19:$IV19,"AAAAAG69uKs=",0)</f>
        <v>0</v>
      </c>
      <c r="FQ1" t="e">
        <f>AND('Strategic Summary'!A19,"AAAAAG69uKw=")</f>
        <v>#VALUE!</v>
      </c>
      <c r="FR1" t="e">
        <f>AND('Strategic Summary'!B19,"AAAAAG69uK0=")</f>
        <v>#VALUE!</v>
      </c>
      <c r="FS1" t="e">
        <f>AND('Strategic Summary'!C19,"AAAAAG69uK4=")</f>
        <v>#VALUE!</v>
      </c>
      <c r="FT1" t="e">
        <f>AND('Strategic Summary'!D19,"AAAAAG69uK8=")</f>
        <v>#VALUE!</v>
      </c>
      <c r="FU1" t="e">
        <f>AND('Strategic Summary'!E19,"AAAAAG69uLA=")</f>
        <v>#VALUE!</v>
      </c>
      <c r="FV1" t="e">
        <f>AND('Strategic Summary'!F19,"AAAAAG69uLE=")</f>
        <v>#VALUE!</v>
      </c>
      <c r="FW1" t="e">
        <f>AND('Strategic Summary'!G19,"AAAAAG69uLI=")</f>
        <v>#VALUE!</v>
      </c>
      <c r="FX1" t="e">
        <f>AND('Strategic Summary'!H19,"AAAAAG69uLM=")</f>
        <v>#VALUE!</v>
      </c>
      <c r="FY1" t="e">
        <f>AND('Strategic Summary'!I19,"AAAAAG69uLQ=")</f>
        <v>#VALUE!</v>
      </c>
      <c r="FZ1" t="e">
        <f>AND('Strategic Summary'!J19,"AAAAAG69uLU=")</f>
        <v>#VALUE!</v>
      </c>
      <c r="GA1" t="e">
        <f>AND('Strategic Summary'!K19,"AAAAAG69uLY=")</f>
        <v>#VALUE!</v>
      </c>
      <c r="GB1" t="e">
        <f>AND('Strategic Summary'!L19,"AAAAAG69uLc=")</f>
        <v>#VALUE!</v>
      </c>
      <c r="GC1" t="e">
        <f>AND('Strategic Summary'!M19,"AAAAAG69uLg=")</f>
        <v>#VALUE!</v>
      </c>
      <c r="GD1" t="e">
        <f>AND('Strategic Summary'!N19,"AAAAAG69uLk=")</f>
        <v>#VALUE!</v>
      </c>
      <c r="GE1" t="e">
        <f>AND('Strategic Summary'!O19,"AAAAAG69uLo=")</f>
        <v>#VALUE!</v>
      </c>
      <c r="GF1" t="e">
        <f>AND('Strategic Summary'!P19,"AAAAAG69uLs=")</f>
        <v>#VALUE!</v>
      </c>
      <c r="GG1" t="e">
        <f>AND('Strategic Summary'!Q19,"AAAAAG69uLw=")</f>
        <v>#VALUE!</v>
      </c>
      <c r="GH1" t="e">
        <f>AND('Strategic Summary'!R19,"AAAAAG69uL0=")</f>
        <v>#VALUE!</v>
      </c>
      <c r="GI1">
        <f>IF('Strategic Summary'!$A20:$IV20,"AAAAAG69uL4=",0)</f>
        <v>0</v>
      </c>
      <c r="GJ1" t="e">
        <f>AND('Strategic Summary'!A20,"AAAAAG69uL8=")</f>
        <v>#VALUE!</v>
      </c>
      <c r="GK1" t="e">
        <f>AND('Strategic Summary'!B20,"AAAAAG69uMA=")</f>
        <v>#VALUE!</v>
      </c>
      <c r="GL1" t="e">
        <f>AND('Strategic Summary'!C20,"AAAAAG69uME=")</f>
        <v>#VALUE!</v>
      </c>
      <c r="GM1" t="e">
        <f>AND('Strategic Summary'!D20,"AAAAAG69uMI=")</f>
        <v>#VALUE!</v>
      </c>
      <c r="GN1" t="e">
        <f>AND('Strategic Summary'!E20,"AAAAAG69uMM=")</f>
        <v>#VALUE!</v>
      </c>
      <c r="GO1" t="e">
        <f>AND('Strategic Summary'!F20,"AAAAAG69uMQ=")</f>
        <v>#VALUE!</v>
      </c>
      <c r="GP1" t="e">
        <f>AND('Strategic Summary'!G20,"AAAAAG69uMU=")</f>
        <v>#VALUE!</v>
      </c>
      <c r="GQ1" t="e">
        <f>AND('Strategic Summary'!H20,"AAAAAG69uMY=")</f>
        <v>#VALUE!</v>
      </c>
      <c r="GR1" t="e">
        <f>AND('Strategic Summary'!I20,"AAAAAG69uMc=")</f>
        <v>#VALUE!</v>
      </c>
      <c r="GS1" t="e">
        <f>AND('Strategic Summary'!J20,"AAAAAG69uMg=")</f>
        <v>#VALUE!</v>
      </c>
      <c r="GT1" t="e">
        <f>AND('Strategic Summary'!K20,"AAAAAG69uMk=")</f>
        <v>#VALUE!</v>
      </c>
      <c r="GU1" t="e">
        <f>AND('Strategic Summary'!L20,"AAAAAG69uMo=")</f>
        <v>#VALUE!</v>
      </c>
      <c r="GV1" t="e">
        <f>AND('Strategic Summary'!M20,"AAAAAG69uMs=")</f>
        <v>#VALUE!</v>
      </c>
      <c r="GW1" t="e">
        <f>AND('Strategic Summary'!N20,"AAAAAG69uMw=")</f>
        <v>#VALUE!</v>
      </c>
      <c r="GX1" t="e">
        <f>AND('Strategic Summary'!O20,"AAAAAG69uM0=")</f>
        <v>#VALUE!</v>
      </c>
      <c r="GY1" t="e">
        <f>AND('Strategic Summary'!P20,"AAAAAG69uM4=")</f>
        <v>#VALUE!</v>
      </c>
      <c r="GZ1" t="e">
        <f>AND('Strategic Summary'!Q20,"AAAAAG69uM8=")</f>
        <v>#VALUE!</v>
      </c>
      <c r="HA1" t="e">
        <f>AND('Strategic Summary'!R20,"AAAAAG69uNA=")</f>
        <v>#VALUE!</v>
      </c>
      <c r="HB1">
        <f>IF('Strategic Summary'!$A21:$IV21,"AAAAAG69uNE=",0)</f>
        <v>0</v>
      </c>
      <c r="HC1" t="e">
        <f>AND('Strategic Summary'!A21,"AAAAAG69uNI=")</f>
        <v>#VALUE!</v>
      </c>
      <c r="HD1" t="e">
        <f>AND('Strategic Summary'!B21,"AAAAAG69uNM=")</f>
        <v>#VALUE!</v>
      </c>
      <c r="HE1" t="e">
        <f>AND('Strategic Summary'!C21,"AAAAAG69uNQ=")</f>
        <v>#VALUE!</v>
      </c>
      <c r="HF1" t="e">
        <f>AND('Strategic Summary'!D21,"AAAAAG69uNU=")</f>
        <v>#VALUE!</v>
      </c>
      <c r="HG1" t="e">
        <f>AND('Strategic Summary'!E21,"AAAAAG69uNY=")</f>
        <v>#VALUE!</v>
      </c>
      <c r="HH1" t="e">
        <f>AND('Strategic Summary'!F21,"AAAAAG69uNc=")</f>
        <v>#VALUE!</v>
      </c>
      <c r="HI1" t="e">
        <f>AND('Strategic Summary'!G21,"AAAAAG69uNg=")</f>
        <v>#VALUE!</v>
      </c>
      <c r="HJ1" t="e">
        <f>AND('Strategic Summary'!H21,"AAAAAG69uNk=")</f>
        <v>#VALUE!</v>
      </c>
      <c r="HK1" t="e">
        <f>AND('Strategic Summary'!I21,"AAAAAG69uNo=")</f>
        <v>#VALUE!</v>
      </c>
      <c r="HL1" t="e">
        <f>AND('Strategic Summary'!J21,"AAAAAG69uNs=")</f>
        <v>#VALUE!</v>
      </c>
      <c r="HM1" t="e">
        <f>AND('Strategic Summary'!K21,"AAAAAG69uNw=")</f>
        <v>#VALUE!</v>
      </c>
      <c r="HN1" t="e">
        <f>AND('Strategic Summary'!L21,"AAAAAG69uN0=")</f>
        <v>#VALUE!</v>
      </c>
      <c r="HO1" t="e">
        <f>AND('Strategic Summary'!M21,"AAAAAG69uN4=")</f>
        <v>#VALUE!</v>
      </c>
      <c r="HP1" t="e">
        <f>AND('Strategic Summary'!N21,"AAAAAG69uN8=")</f>
        <v>#VALUE!</v>
      </c>
      <c r="HQ1" t="e">
        <f>AND('Strategic Summary'!O21,"AAAAAG69uOA=")</f>
        <v>#VALUE!</v>
      </c>
      <c r="HR1" t="e">
        <f>AND('Strategic Summary'!P21,"AAAAAG69uOE=")</f>
        <v>#VALUE!</v>
      </c>
      <c r="HS1" t="e">
        <f>AND('Strategic Summary'!Q21,"AAAAAG69uOI=")</f>
        <v>#VALUE!</v>
      </c>
      <c r="HT1" t="e">
        <f>AND('Strategic Summary'!R21,"AAAAAG69uOM=")</f>
        <v>#VALUE!</v>
      </c>
      <c r="HU1">
        <f>IF('Strategic Summary'!$A22:$IV22,"AAAAAG69uOQ=",0)</f>
        <v>0</v>
      </c>
      <c r="HV1" t="e">
        <f>AND('Strategic Summary'!A22,"AAAAAG69uOU=")</f>
        <v>#VALUE!</v>
      </c>
      <c r="HW1" t="e">
        <f>AND('Strategic Summary'!B22,"AAAAAG69uOY=")</f>
        <v>#VALUE!</v>
      </c>
      <c r="HX1" t="e">
        <f>AND('Strategic Summary'!C22,"AAAAAG69uOc=")</f>
        <v>#VALUE!</v>
      </c>
      <c r="HY1" t="e">
        <f>AND('Strategic Summary'!D22,"AAAAAG69uOg=")</f>
        <v>#VALUE!</v>
      </c>
      <c r="HZ1" t="e">
        <f>AND('Strategic Summary'!E22,"AAAAAG69uOk=")</f>
        <v>#VALUE!</v>
      </c>
      <c r="IA1" t="e">
        <f>AND('Strategic Summary'!F22,"AAAAAG69uOo=")</f>
        <v>#VALUE!</v>
      </c>
      <c r="IB1" t="e">
        <f>AND('Strategic Summary'!G22,"AAAAAG69uOs=")</f>
        <v>#VALUE!</v>
      </c>
      <c r="IC1" t="e">
        <f>AND('Strategic Summary'!H22,"AAAAAG69uOw=")</f>
        <v>#VALUE!</v>
      </c>
      <c r="ID1" t="e">
        <f>AND('Strategic Summary'!I22,"AAAAAG69uO0=")</f>
        <v>#VALUE!</v>
      </c>
      <c r="IE1" t="e">
        <f>AND('Strategic Summary'!J22,"AAAAAG69uO4=")</f>
        <v>#VALUE!</v>
      </c>
      <c r="IF1" t="e">
        <f>AND('Strategic Summary'!K22,"AAAAAG69uO8=")</f>
        <v>#VALUE!</v>
      </c>
      <c r="IG1" t="e">
        <f>AND('Strategic Summary'!L22,"AAAAAG69uPA=")</f>
        <v>#VALUE!</v>
      </c>
      <c r="IH1" t="e">
        <f>AND('Strategic Summary'!M22,"AAAAAG69uPE=")</f>
        <v>#VALUE!</v>
      </c>
      <c r="II1" t="e">
        <f>AND('Strategic Summary'!N22,"AAAAAG69uPI=")</f>
        <v>#VALUE!</v>
      </c>
      <c r="IJ1" t="e">
        <f>AND('Strategic Summary'!O22,"AAAAAG69uPM=")</f>
        <v>#VALUE!</v>
      </c>
      <c r="IK1" t="e">
        <f>AND('Strategic Summary'!P22,"AAAAAG69uPQ=")</f>
        <v>#VALUE!</v>
      </c>
      <c r="IL1" t="e">
        <f>AND('Strategic Summary'!Q22,"AAAAAG69uPU=")</f>
        <v>#VALUE!</v>
      </c>
      <c r="IM1" t="e">
        <f>AND('Strategic Summary'!R22,"AAAAAG69uPY=")</f>
        <v>#VALUE!</v>
      </c>
      <c r="IN1" t="e">
        <f>IF('Strategic Summary'!#REF!,"AAAAAG69uPc=",0)</f>
        <v>#REF!</v>
      </c>
      <c r="IO1" t="e">
        <f>AND('Strategic Summary'!#REF!,"AAAAAG69uPg=")</f>
        <v>#REF!</v>
      </c>
      <c r="IP1" t="e">
        <f>AND('Strategic Summary'!#REF!,"AAAAAG69uPk=")</f>
        <v>#REF!</v>
      </c>
      <c r="IQ1" t="e">
        <f>AND('Strategic Summary'!#REF!,"AAAAAG69uPo=")</f>
        <v>#REF!</v>
      </c>
      <c r="IR1" t="e">
        <f>AND('Strategic Summary'!#REF!,"AAAAAG69uPs=")</f>
        <v>#REF!</v>
      </c>
      <c r="IS1" t="e">
        <f>AND('Strategic Summary'!#REF!,"AAAAAG69uPw=")</f>
        <v>#REF!</v>
      </c>
      <c r="IT1" t="e">
        <f>AND('Strategic Summary'!#REF!,"AAAAAG69uP0=")</f>
        <v>#REF!</v>
      </c>
      <c r="IU1" t="e">
        <f>AND('Strategic Summary'!#REF!,"AAAAAG69uP4=")</f>
        <v>#REF!</v>
      </c>
      <c r="IV1" t="e">
        <f>AND('Strategic Summary'!#REF!,"AAAAAG69uP8=")</f>
        <v>#REF!</v>
      </c>
    </row>
    <row r="2" spans="1:256" ht="12.75" customHeight="1" x14ac:dyDescent="0.2">
      <c r="A2" t="e">
        <f>AND('Strategic Summary'!#REF!,"AAAAABPrnwA=")</f>
        <v>#REF!</v>
      </c>
      <c r="B2" t="e">
        <f>AND('Strategic Summary'!#REF!,"AAAAABPrnwE=")</f>
        <v>#REF!</v>
      </c>
      <c r="C2" t="e">
        <f>AND('Strategic Summary'!#REF!,"AAAAABPrnwI=")</f>
        <v>#REF!</v>
      </c>
      <c r="D2" t="e">
        <f>AND('Strategic Summary'!#REF!,"AAAAABPrnwM=")</f>
        <v>#REF!</v>
      </c>
      <c r="E2" t="e">
        <f>AND('Strategic Summary'!#REF!,"AAAAABPrnwQ=")</f>
        <v>#REF!</v>
      </c>
      <c r="F2" t="e">
        <f>AND('Strategic Summary'!#REF!,"AAAAABPrnwU=")</f>
        <v>#REF!</v>
      </c>
      <c r="G2" t="e">
        <f>AND('Strategic Summary'!#REF!,"AAAAABPrnwY=")</f>
        <v>#REF!</v>
      </c>
      <c r="H2" t="e">
        <f>AND('Strategic Summary'!#REF!,"AAAAABPrnwc=")</f>
        <v>#REF!</v>
      </c>
      <c r="I2" t="e">
        <f>AND('Strategic Summary'!#REF!,"AAAAABPrnwg=")</f>
        <v>#REF!</v>
      </c>
      <c r="J2" t="e">
        <f>AND('Strategic Summary'!#REF!,"AAAAABPrnwk=")</f>
        <v>#REF!</v>
      </c>
      <c r="K2">
        <f>IF('Strategic Summary'!$A23:$IV23,"AAAAABPrnwo=",0)</f>
        <v>0</v>
      </c>
      <c r="L2" t="e">
        <f>AND('Strategic Summary'!A23,"AAAAABPrnws=")</f>
        <v>#VALUE!</v>
      </c>
      <c r="M2" t="e">
        <f>AND('Strategic Summary'!B23,"AAAAABPrnww=")</f>
        <v>#VALUE!</v>
      </c>
      <c r="N2" t="e">
        <f>AND('Strategic Summary'!C23,"AAAAABPrnw0=")</f>
        <v>#VALUE!</v>
      </c>
      <c r="O2" t="e">
        <f>AND('Strategic Summary'!D23,"AAAAABPrnw4=")</f>
        <v>#VALUE!</v>
      </c>
      <c r="P2" t="e">
        <f>AND('Strategic Summary'!E23,"AAAAABPrnw8=")</f>
        <v>#VALUE!</v>
      </c>
      <c r="Q2" t="e">
        <f>AND('Strategic Summary'!F23,"AAAAABPrnxA=")</f>
        <v>#VALUE!</v>
      </c>
      <c r="R2" t="e">
        <f>AND('Strategic Summary'!G23,"AAAAABPrnxE=")</f>
        <v>#VALUE!</v>
      </c>
      <c r="S2" t="e">
        <f>AND('Strategic Summary'!H23,"AAAAABPrnxI=")</f>
        <v>#VALUE!</v>
      </c>
      <c r="T2" t="e">
        <f>AND('Strategic Summary'!I23,"AAAAABPrnxM=")</f>
        <v>#VALUE!</v>
      </c>
      <c r="U2" t="e">
        <f>AND('Strategic Summary'!J23,"AAAAABPrnxQ=")</f>
        <v>#VALUE!</v>
      </c>
      <c r="V2" t="e">
        <f>AND('Strategic Summary'!K23,"AAAAABPrnxU=")</f>
        <v>#VALUE!</v>
      </c>
      <c r="W2" t="e">
        <f>AND('Strategic Summary'!L23,"AAAAABPrnxY=")</f>
        <v>#VALUE!</v>
      </c>
      <c r="X2" t="e">
        <f>AND('Strategic Summary'!M23,"AAAAABPrnxc=")</f>
        <v>#VALUE!</v>
      </c>
      <c r="Y2" t="e">
        <f>AND('Strategic Summary'!N23,"AAAAABPrnxg=")</f>
        <v>#VALUE!</v>
      </c>
      <c r="Z2" t="e">
        <f>AND('Strategic Summary'!O23,"AAAAABPrnxk=")</f>
        <v>#VALUE!</v>
      </c>
      <c r="AA2" t="e">
        <f>AND('Strategic Summary'!P23,"AAAAABPrnxo=")</f>
        <v>#VALUE!</v>
      </c>
      <c r="AB2" t="e">
        <f>AND('Strategic Summary'!Q23,"AAAAABPrnxs=")</f>
        <v>#VALUE!</v>
      </c>
      <c r="AC2" t="e">
        <f>AND('Strategic Summary'!R23,"AAAAABPrnxw=")</f>
        <v>#VALUE!</v>
      </c>
      <c r="AD2">
        <f>IF('Strategic Summary'!$A24:$IV24,"AAAAABPrnx0=",0)</f>
        <v>0</v>
      </c>
      <c r="AE2" t="e">
        <f>AND('Strategic Summary'!A24,"AAAAABPrnx4=")</f>
        <v>#VALUE!</v>
      </c>
      <c r="AF2" t="e">
        <f>AND('Strategic Summary'!B24,"AAAAABPrnx8=")</f>
        <v>#VALUE!</v>
      </c>
      <c r="AG2" t="e">
        <f>AND('Strategic Summary'!C24,"AAAAABPrnyA=")</f>
        <v>#VALUE!</v>
      </c>
      <c r="AH2" t="e">
        <f>AND('Strategic Summary'!D24,"AAAAABPrnyE=")</f>
        <v>#VALUE!</v>
      </c>
      <c r="AI2" t="e">
        <f>AND('Strategic Summary'!E24,"AAAAABPrnyI=")</f>
        <v>#VALUE!</v>
      </c>
      <c r="AJ2" t="e">
        <f>AND('Strategic Summary'!F24,"AAAAABPrnyM=")</f>
        <v>#VALUE!</v>
      </c>
      <c r="AK2" t="e">
        <f>AND('Strategic Summary'!G24,"AAAAABPrnyQ=")</f>
        <v>#VALUE!</v>
      </c>
      <c r="AL2" t="e">
        <f>AND('Strategic Summary'!H24,"AAAAABPrnyU=")</f>
        <v>#VALUE!</v>
      </c>
      <c r="AM2" t="e">
        <f>AND('Strategic Summary'!I24,"AAAAABPrnyY=")</f>
        <v>#VALUE!</v>
      </c>
      <c r="AN2" t="e">
        <f>AND('Strategic Summary'!J24,"AAAAABPrnyc=")</f>
        <v>#VALUE!</v>
      </c>
      <c r="AO2" t="e">
        <f>AND('Strategic Summary'!K24,"AAAAABPrnyg=")</f>
        <v>#VALUE!</v>
      </c>
      <c r="AP2" t="e">
        <f>AND('Strategic Summary'!L24,"AAAAABPrnyk=")</f>
        <v>#VALUE!</v>
      </c>
      <c r="AQ2" t="e">
        <f>AND('Strategic Summary'!M24,"AAAAABPrnyo=")</f>
        <v>#VALUE!</v>
      </c>
      <c r="AR2" t="e">
        <f>AND('Strategic Summary'!N24,"AAAAABPrnys=")</f>
        <v>#VALUE!</v>
      </c>
      <c r="AS2" t="e">
        <f>AND('Strategic Summary'!O24,"AAAAABPrnyw=")</f>
        <v>#VALUE!</v>
      </c>
      <c r="AT2" t="e">
        <f>AND('Strategic Summary'!P24,"AAAAABPrny0=")</f>
        <v>#VALUE!</v>
      </c>
      <c r="AU2" t="e">
        <f>AND('Strategic Summary'!Q24,"AAAAABPrny4=")</f>
        <v>#VALUE!</v>
      </c>
      <c r="AV2" t="e">
        <f>AND('Strategic Summary'!R24,"AAAAABPrny8=")</f>
        <v>#VALUE!</v>
      </c>
      <c r="AW2">
        <f>IF('Strategic Summary'!$A25:$IV25,"AAAAABPrnzA=",0)</f>
        <v>0</v>
      </c>
      <c r="AX2" t="e">
        <f>AND('Strategic Summary'!A25,"AAAAABPrnzE=")</f>
        <v>#VALUE!</v>
      </c>
      <c r="AY2" t="e">
        <f>AND('Strategic Summary'!B25,"AAAAABPrnzI=")</f>
        <v>#VALUE!</v>
      </c>
      <c r="AZ2" t="e">
        <f>AND('Strategic Summary'!#REF!,"AAAAABPrnzM=")</f>
        <v>#REF!</v>
      </c>
      <c r="BA2" t="e">
        <f>AND('Strategic Summary'!#REF!,"AAAAABPrnzQ=")</f>
        <v>#REF!</v>
      </c>
      <c r="BB2" t="e">
        <f>AND('Strategic Summary'!#REF!,"AAAAABPrnzU=")</f>
        <v>#REF!</v>
      </c>
      <c r="BC2" t="e">
        <f>AND('Strategic Summary'!#REF!,"AAAAABPrnzY=")</f>
        <v>#REF!</v>
      </c>
      <c r="BD2" t="e">
        <f>AND('Strategic Summary'!G25,"AAAAABPrnzc=")</f>
        <v>#VALUE!</v>
      </c>
      <c r="BE2" t="e">
        <f>AND('Strategic Summary'!H25,"AAAAABPrnzg=")</f>
        <v>#VALUE!</v>
      </c>
      <c r="BF2" t="e">
        <f>AND('Strategic Summary'!I25,"AAAAABPrnzk=")</f>
        <v>#VALUE!</v>
      </c>
      <c r="BG2" t="e">
        <f>AND('Strategic Summary'!J25,"AAAAABPrnzo=")</f>
        <v>#VALUE!</v>
      </c>
      <c r="BH2" t="e">
        <f>AND('Strategic Summary'!K25,"AAAAABPrnzs=")</f>
        <v>#VALUE!</v>
      </c>
      <c r="BI2" t="e">
        <f>AND('Strategic Summary'!L25,"AAAAABPrnzw=")</f>
        <v>#VALUE!</v>
      </c>
      <c r="BJ2" t="e">
        <f>AND('Strategic Summary'!M25,"AAAAABPrnz0=")</f>
        <v>#VALUE!</v>
      </c>
      <c r="BK2" t="e">
        <f>AND('Strategic Summary'!N25,"AAAAABPrnz4=")</f>
        <v>#VALUE!</v>
      </c>
      <c r="BL2" t="e">
        <f>AND('Strategic Summary'!O25,"AAAAABPrnz8=")</f>
        <v>#VALUE!</v>
      </c>
      <c r="BM2" t="e">
        <f>AND('Strategic Summary'!P25,"AAAAABPrn0A=")</f>
        <v>#VALUE!</v>
      </c>
      <c r="BN2" t="e">
        <f>AND('Strategic Summary'!Q25,"AAAAABPrn0E=")</f>
        <v>#VALUE!</v>
      </c>
      <c r="BO2" t="e">
        <f>AND('Strategic Summary'!R25,"AAAAABPrn0I=")</f>
        <v>#VALUE!</v>
      </c>
      <c r="BP2">
        <f>IF('Strategic Summary'!$A26:$IV26,"AAAAABPrn0M=",0)</f>
        <v>0</v>
      </c>
      <c r="BQ2" t="e">
        <f>AND('Strategic Summary'!A26,"AAAAABPrn0Q=")</f>
        <v>#VALUE!</v>
      </c>
      <c r="BR2" t="e">
        <f>AND('Strategic Summary'!B26,"AAAAABPrn0U=")</f>
        <v>#VALUE!</v>
      </c>
      <c r="BS2" t="e">
        <f>AND('Strategic Summary'!C26,"AAAAABPrn0Y=")</f>
        <v>#VALUE!</v>
      </c>
      <c r="BT2" t="e">
        <f>AND('Strategic Summary'!D26,"AAAAABPrn0c=")</f>
        <v>#VALUE!</v>
      </c>
      <c r="BU2" t="e">
        <f>AND('Strategic Summary'!E26,"AAAAABPrn0g=")</f>
        <v>#VALUE!</v>
      </c>
      <c r="BV2" t="e">
        <f>AND('Strategic Summary'!F26,"AAAAABPrn0k=")</f>
        <v>#VALUE!</v>
      </c>
      <c r="BW2" t="e">
        <f>AND('Strategic Summary'!G26,"AAAAABPrn0o=")</f>
        <v>#VALUE!</v>
      </c>
      <c r="BX2" t="e">
        <f>AND('Strategic Summary'!H26,"AAAAABPrn0s=")</f>
        <v>#VALUE!</v>
      </c>
      <c r="BY2" t="e">
        <f>AND('Strategic Summary'!I26,"AAAAABPrn0w=")</f>
        <v>#VALUE!</v>
      </c>
      <c r="BZ2" t="e">
        <f>AND('Strategic Summary'!J26,"AAAAABPrn00=")</f>
        <v>#VALUE!</v>
      </c>
      <c r="CA2" t="e">
        <f>AND('Strategic Summary'!K26,"AAAAABPrn04=")</f>
        <v>#VALUE!</v>
      </c>
      <c r="CB2" t="e">
        <f>AND('Strategic Summary'!L26,"AAAAABPrn08=")</f>
        <v>#VALUE!</v>
      </c>
      <c r="CC2" t="e">
        <f>AND('Strategic Summary'!M26,"AAAAABPrn1A=")</f>
        <v>#VALUE!</v>
      </c>
      <c r="CD2" t="e">
        <f>AND('Strategic Summary'!N26,"AAAAABPrn1E=")</f>
        <v>#VALUE!</v>
      </c>
      <c r="CE2" t="e">
        <f>AND('Strategic Summary'!O26,"AAAAABPrn1I=")</f>
        <v>#VALUE!</v>
      </c>
      <c r="CF2" t="e">
        <f>AND('Strategic Summary'!P26,"AAAAABPrn1M=")</f>
        <v>#VALUE!</v>
      </c>
      <c r="CG2" t="e">
        <f>AND('Strategic Summary'!Q26,"AAAAABPrn1Q=")</f>
        <v>#VALUE!</v>
      </c>
      <c r="CH2" t="e">
        <f>AND('Strategic Summary'!R26,"AAAAABPrn1U=")</f>
        <v>#VALUE!</v>
      </c>
      <c r="CI2">
        <f>IF('Strategic Summary'!$A27:$IV27,"AAAAABPrn1Y=",0)</f>
        <v>0</v>
      </c>
      <c r="CJ2" t="e">
        <f>AND('Strategic Summary'!A27,"AAAAABPrn1c=")</f>
        <v>#VALUE!</v>
      </c>
      <c r="CK2" t="e">
        <f>AND('Strategic Summary'!B27,"AAAAABPrn1g=")</f>
        <v>#VALUE!</v>
      </c>
      <c r="CL2" t="e">
        <f>AND('Strategic Summary'!C27,"AAAAABPrn1k=")</f>
        <v>#VALUE!</v>
      </c>
      <c r="CM2" t="e">
        <f>AND('Strategic Summary'!D27,"AAAAABPrn1o=")</f>
        <v>#VALUE!</v>
      </c>
      <c r="CN2" t="e">
        <f>AND('Strategic Summary'!E27,"AAAAABPrn1s=")</f>
        <v>#VALUE!</v>
      </c>
      <c r="CO2" t="e">
        <f>AND('Strategic Summary'!F27,"AAAAABPrn1w=")</f>
        <v>#VALUE!</v>
      </c>
      <c r="CP2" t="e">
        <f>AND('Strategic Summary'!G27,"AAAAABPrn10=")</f>
        <v>#VALUE!</v>
      </c>
      <c r="CQ2" t="e">
        <f>AND('Strategic Summary'!H27,"AAAAABPrn14=")</f>
        <v>#VALUE!</v>
      </c>
      <c r="CR2" t="e">
        <f>AND('Strategic Summary'!I27,"AAAAABPrn18=")</f>
        <v>#VALUE!</v>
      </c>
      <c r="CS2" t="e">
        <f>AND('Strategic Summary'!J27,"AAAAABPrn2A=")</f>
        <v>#VALUE!</v>
      </c>
      <c r="CT2" t="e">
        <f>AND('Strategic Summary'!K27,"AAAAABPrn2E=")</f>
        <v>#VALUE!</v>
      </c>
      <c r="CU2" t="e">
        <f>AND('Strategic Summary'!L27,"AAAAABPrn2I=")</f>
        <v>#VALUE!</v>
      </c>
      <c r="CV2" t="e">
        <f>AND('Strategic Summary'!M27,"AAAAABPrn2M=")</f>
        <v>#VALUE!</v>
      </c>
      <c r="CW2" t="e">
        <f>AND('Strategic Summary'!N27,"AAAAABPrn2Q=")</f>
        <v>#VALUE!</v>
      </c>
      <c r="CX2" t="e">
        <f>AND('Strategic Summary'!O27,"AAAAABPrn2U=")</f>
        <v>#VALUE!</v>
      </c>
      <c r="CY2" t="e">
        <f>AND('Strategic Summary'!P27,"AAAAABPrn2Y=")</f>
        <v>#VALUE!</v>
      </c>
      <c r="CZ2" t="e">
        <f>AND('Strategic Summary'!Q27,"AAAAABPrn2c=")</f>
        <v>#VALUE!</v>
      </c>
      <c r="DA2" t="e">
        <f>AND('Strategic Summary'!R27,"AAAAABPrn2g=")</f>
        <v>#VALUE!</v>
      </c>
      <c r="DB2">
        <f>IF('Strategic Summary'!$A31:$IV31,"AAAAABPrn2k=",0)</f>
        <v>0</v>
      </c>
      <c r="DC2" t="e">
        <f>AND('Strategic Summary'!A31,"AAAAABPrn2o=")</f>
        <v>#VALUE!</v>
      </c>
      <c r="DD2" t="e">
        <f>AND('Strategic Summary'!B31,"AAAAABPrn2s=")</f>
        <v>#VALUE!</v>
      </c>
      <c r="DE2" t="e">
        <f>AND('Strategic Summary'!C31,"AAAAABPrn2w=")</f>
        <v>#VALUE!</v>
      </c>
      <c r="DF2" t="e">
        <f>AND('Strategic Summary'!D31,"AAAAABPrn20=")</f>
        <v>#VALUE!</v>
      </c>
      <c r="DG2" t="e">
        <f>AND('Strategic Summary'!E31,"AAAAABPrn24=")</f>
        <v>#VALUE!</v>
      </c>
      <c r="DH2" t="e">
        <f>AND('Strategic Summary'!F31,"AAAAABPrn28=")</f>
        <v>#VALUE!</v>
      </c>
      <c r="DI2" t="e">
        <f>AND('Strategic Summary'!G31,"AAAAABPrn3A=")</f>
        <v>#VALUE!</v>
      </c>
      <c r="DJ2" t="e">
        <f>AND('Strategic Summary'!H31,"AAAAABPrn3E=")</f>
        <v>#VALUE!</v>
      </c>
      <c r="DK2" t="e">
        <f>AND('Strategic Summary'!I31,"AAAAABPrn3I=")</f>
        <v>#VALUE!</v>
      </c>
      <c r="DL2" t="e">
        <f>AND('Strategic Summary'!J31,"AAAAABPrn3M=")</f>
        <v>#VALUE!</v>
      </c>
      <c r="DM2" t="e">
        <f>AND('Strategic Summary'!K31,"AAAAABPrn3Q=")</f>
        <v>#VALUE!</v>
      </c>
      <c r="DN2" t="e">
        <f>AND('Strategic Summary'!L31,"AAAAABPrn3U=")</f>
        <v>#VALUE!</v>
      </c>
      <c r="DO2" t="e">
        <f>AND('Strategic Summary'!M31,"AAAAABPrn3Y=")</f>
        <v>#VALUE!</v>
      </c>
      <c r="DP2" t="e">
        <f>AND('Strategic Summary'!N31,"AAAAABPrn3c=")</f>
        <v>#VALUE!</v>
      </c>
      <c r="DQ2" t="e">
        <f>AND('Strategic Summary'!O31,"AAAAABPrn3g=")</f>
        <v>#VALUE!</v>
      </c>
      <c r="DR2" t="e">
        <f>AND('Strategic Summary'!P31,"AAAAABPrn3k=")</f>
        <v>#VALUE!</v>
      </c>
      <c r="DS2" t="e">
        <f>AND('Strategic Summary'!Q31,"AAAAABPrn3o=")</f>
        <v>#VALUE!</v>
      </c>
      <c r="DT2" t="e">
        <f>AND('Strategic Summary'!R31,"AAAAABPrn3s=")</f>
        <v>#VALUE!</v>
      </c>
      <c r="DU2">
        <f>IF('Strategic Summary'!$A32:$IV32,"AAAAABPrn3w=",0)</f>
        <v>0</v>
      </c>
      <c r="DV2" t="e">
        <f>AND('Strategic Summary'!A32,"AAAAABPrn30=")</f>
        <v>#VALUE!</v>
      </c>
      <c r="DW2" t="e">
        <f>AND('Strategic Summary'!B32,"AAAAABPrn34=")</f>
        <v>#VALUE!</v>
      </c>
      <c r="DX2" t="e">
        <f>AND('Strategic Summary'!C32,"AAAAABPrn38=")</f>
        <v>#VALUE!</v>
      </c>
      <c r="DY2" t="e">
        <f>AND('Strategic Summary'!D32,"AAAAABPrn4A=")</f>
        <v>#VALUE!</v>
      </c>
      <c r="DZ2" t="e">
        <f>AND('Strategic Summary'!E32,"AAAAABPrn4E=")</f>
        <v>#VALUE!</v>
      </c>
      <c r="EA2" t="e">
        <f>AND('Strategic Summary'!F32,"AAAAABPrn4I=")</f>
        <v>#VALUE!</v>
      </c>
      <c r="EB2" t="e">
        <f>AND('Strategic Summary'!G32,"AAAAABPrn4M=")</f>
        <v>#VALUE!</v>
      </c>
      <c r="EC2" t="e">
        <f>AND('Strategic Summary'!H32,"AAAAABPrn4Q=")</f>
        <v>#VALUE!</v>
      </c>
      <c r="ED2" t="e">
        <f>AND('Strategic Summary'!I32,"AAAAABPrn4U=")</f>
        <v>#VALUE!</v>
      </c>
      <c r="EE2" t="e">
        <f>AND('Strategic Summary'!J32,"AAAAABPrn4Y=")</f>
        <v>#VALUE!</v>
      </c>
      <c r="EF2" t="e">
        <f>AND('Strategic Summary'!K32,"AAAAABPrn4c=")</f>
        <v>#VALUE!</v>
      </c>
      <c r="EG2" t="e">
        <f>AND('Strategic Summary'!L32,"AAAAABPrn4g=")</f>
        <v>#VALUE!</v>
      </c>
      <c r="EH2" t="e">
        <f>AND('Strategic Summary'!M32,"AAAAABPrn4k=")</f>
        <v>#VALUE!</v>
      </c>
      <c r="EI2" t="e">
        <f>AND('Strategic Summary'!N32,"AAAAABPrn4o=")</f>
        <v>#VALUE!</v>
      </c>
      <c r="EJ2" t="e">
        <f>AND('Strategic Summary'!O32,"AAAAABPrn4s=")</f>
        <v>#VALUE!</v>
      </c>
      <c r="EK2" t="e">
        <f>AND('Strategic Summary'!P32,"AAAAABPrn4w=")</f>
        <v>#VALUE!</v>
      </c>
      <c r="EL2" t="e">
        <f>AND('Strategic Summary'!Q32,"AAAAABPrn40=")</f>
        <v>#VALUE!</v>
      </c>
      <c r="EM2" t="e">
        <f>AND('Strategic Summary'!R32,"AAAAABPrn44=")</f>
        <v>#VALUE!</v>
      </c>
      <c r="EN2">
        <f>IF('Strategic Summary'!$A35:$IV35,"AAAAABPrn48=",0)</f>
        <v>0</v>
      </c>
      <c r="EO2" t="e">
        <f>AND('Strategic Summary'!A35,"AAAAABPrn5A=")</f>
        <v>#VALUE!</v>
      </c>
      <c r="EP2" t="e">
        <f>AND('Strategic Summary'!B35,"AAAAABPrn5E=")</f>
        <v>#VALUE!</v>
      </c>
      <c r="EQ2" t="e">
        <f>AND('Strategic Summary'!C35,"AAAAABPrn5I=")</f>
        <v>#VALUE!</v>
      </c>
      <c r="ER2" t="e">
        <f>AND('Strategic Summary'!D35,"AAAAABPrn5M=")</f>
        <v>#VALUE!</v>
      </c>
      <c r="ES2" t="e">
        <f>AND('Strategic Summary'!E35,"AAAAABPrn5Q=")</f>
        <v>#VALUE!</v>
      </c>
      <c r="ET2" t="e">
        <f>AND('Strategic Summary'!F35,"AAAAABPrn5U=")</f>
        <v>#VALUE!</v>
      </c>
      <c r="EU2" t="e">
        <f>AND('Strategic Summary'!G35,"AAAAABPrn5Y=")</f>
        <v>#VALUE!</v>
      </c>
      <c r="EV2" t="e">
        <f>AND('Strategic Summary'!H35,"AAAAABPrn5c=")</f>
        <v>#VALUE!</v>
      </c>
      <c r="EW2" t="e">
        <f>AND('Strategic Summary'!I35,"AAAAABPrn5g=")</f>
        <v>#VALUE!</v>
      </c>
      <c r="EX2" t="e">
        <f>AND('Strategic Summary'!J35,"AAAAABPrn5k=")</f>
        <v>#VALUE!</v>
      </c>
      <c r="EY2" t="e">
        <f>AND('Strategic Summary'!K35,"AAAAABPrn5o=")</f>
        <v>#VALUE!</v>
      </c>
      <c r="EZ2" t="e">
        <f>AND('Strategic Summary'!L35,"AAAAABPrn5s=")</f>
        <v>#VALUE!</v>
      </c>
      <c r="FA2" t="e">
        <f>AND('Strategic Summary'!M35,"AAAAABPrn5w=")</f>
        <v>#VALUE!</v>
      </c>
      <c r="FB2" t="e">
        <f>AND('Strategic Summary'!N35,"AAAAABPrn50=")</f>
        <v>#VALUE!</v>
      </c>
      <c r="FC2" t="e">
        <f>AND('Strategic Summary'!O35,"AAAAABPrn54=")</f>
        <v>#VALUE!</v>
      </c>
      <c r="FD2" t="e">
        <f>AND('Strategic Summary'!P35,"AAAAABPrn58=")</f>
        <v>#VALUE!</v>
      </c>
      <c r="FE2" t="e">
        <f>AND('Strategic Summary'!Q35,"AAAAABPrn6A=")</f>
        <v>#VALUE!</v>
      </c>
      <c r="FF2" t="e">
        <f>AND('Strategic Summary'!R35,"AAAAABPrn6E=")</f>
        <v>#VALUE!</v>
      </c>
      <c r="FG2">
        <f>IF('Strategic Summary'!$A36:$IV36,"AAAAABPrn6I=",0)</f>
        <v>0</v>
      </c>
      <c r="FH2" t="e">
        <f>AND('Strategic Summary'!A36,"AAAAABPrn6M=")</f>
        <v>#VALUE!</v>
      </c>
      <c r="FI2" t="e">
        <f>AND('Strategic Summary'!B36,"AAAAABPrn6Q=")</f>
        <v>#VALUE!</v>
      </c>
      <c r="FJ2" t="e">
        <f>AND('Strategic Summary'!C36,"AAAAABPrn6U=")</f>
        <v>#VALUE!</v>
      </c>
      <c r="FK2" t="e">
        <f>AND('Strategic Summary'!D36,"AAAAABPrn6Y=")</f>
        <v>#VALUE!</v>
      </c>
      <c r="FL2" t="e">
        <f>AND('Strategic Summary'!E36,"AAAAABPrn6c=")</f>
        <v>#VALUE!</v>
      </c>
      <c r="FM2" t="e">
        <f>AND('Strategic Summary'!F36,"AAAAABPrn6g=")</f>
        <v>#VALUE!</v>
      </c>
      <c r="FN2" t="e">
        <f>AND('Strategic Summary'!G36,"AAAAABPrn6k=")</f>
        <v>#VALUE!</v>
      </c>
      <c r="FO2" t="e">
        <f>AND('Strategic Summary'!H36,"AAAAABPrn6o=")</f>
        <v>#VALUE!</v>
      </c>
      <c r="FP2" t="e">
        <f>AND('Strategic Summary'!I36,"AAAAABPrn6s=")</f>
        <v>#VALUE!</v>
      </c>
      <c r="FQ2" t="e">
        <f>AND('Strategic Summary'!J36,"AAAAABPrn6w=")</f>
        <v>#VALUE!</v>
      </c>
      <c r="FR2" t="e">
        <f>AND('Strategic Summary'!K36,"AAAAABPrn60=")</f>
        <v>#VALUE!</v>
      </c>
      <c r="FS2" t="e">
        <f>AND('Strategic Summary'!L36,"AAAAABPrn64=")</f>
        <v>#VALUE!</v>
      </c>
      <c r="FT2" t="e">
        <f>AND('Strategic Summary'!M36,"AAAAABPrn68=")</f>
        <v>#VALUE!</v>
      </c>
      <c r="FU2" t="e">
        <f>AND('Strategic Summary'!N36,"AAAAABPrn7A=")</f>
        <v>#VALUE!</v>
      </c>
      <c r="FV2" t="e">
        <f>AND('Strategic Summary'!O36,"AAAAABPrn7E=")</f>
        <v>#VALUE!</v>
      </c>
      <c r="FW2" t="e">
        <f>AND('Strategic Summary'!P36,"AAAAABPrn7I=")</f>
        <v>#VALUE!</v>
      </c>
      <c r="FX2" t="e">
        <f>AND('Strategic Summary'!Q36,"AAAAABPrn7M=")</f>
        <v>#VALUE!</v>
      </c>
      <c r="FY2" t="e">
        <f>AND('Strategic Summary'!R36,"AAAAABPrn7Q=")</f>
        <v>#VALUE!</v>
      </c>
      <c r="FZ2" t="e">
        <f>IF('Strategic Summary'!#REF!,"AAAAABPrn7U=",0)</f>
        <v>#REF!</v>
      </c>
      <c r="GA2" t="e">
        <f>AND('Strategic Summary'!#REF!,"AAAAABPrn7Y=")</f>
        <v>#REF!</v>
      </c>
      <c r="GB2" t="e">
        <f>AND('Strategic Summary'!#REF!,"AAAAABPrn7c=")</f>
        <v>#REF!</v>
      </c>
      <c r="GC2" t="e">
        <f>AND('Strategic Summary'!#REF!,"AAAAABPrn7g=")</f>
        <v>#REF!</v>
      </c>
      <c r="GD2" t="e">
        <f>AND('Strategic Summary'!#REF!,"AAAAABPrn7k=")</f>
        <v>#REF!</v>
      </c>
      <c r="GE2" t="e">
        <f>AND('Strategic Summary'!#REF!,"AAAAABPrn7o=")</f>
        <v>#REF!</v>
      </c>
      <c r="GF2" t="e">
        <f>AND('Strategic Summary'!#REF!,"AAAAABPrn7s=")</f>
        <v>#REF!</v>
      </c>
      <c r="GG2" t="e">
        <f>AND('Strategic Summary'!#REF!,"AAAAABPrn7w=")</f>
        <v>#REF!</v>
      </c>
      <c r="GH2" t="e">
        <f>AND('Strategic Summary'!#REF!,"AAAAABPrn70=")</f>
        <v>#REF!</v>
      </c>
      <c r="GI2" t="e">
        <f>AND('Strategic Summary'!#REF!,"AAAAABPrn74=")</f>
        <v>#REF!</v>
      </c>
      <c r="GJ2" t="e">
        <f>AND('Strategic Summary'!#REF!,"AAAAABPrn78=")</f>
        <v>#REF!</v>
      </c>
      <c r="GK2" t="e">
        <f>AND('Strategic Summary'!#REF!,"AAAAABPrn8A=")</f>
        <v>#REF!</v>
      </c>
      <c r="GL2" t="e">
        <f>AND('Strategic Summary'!#REF!,"AAAAABPrn8E=")</f>
        <v>#REF!</v>
      </c>
      <c r="GM2" t="e">
        <f>AND('Strategic Summary'!#REF!,"AAAAABPrn8I=")</f>
        <v>#REF!</v>
      </c>
      <c r="GN2" t="e">
        <f>AND('Strategic Summary'!#REF!,"AAAAABPrn8M=")</f>
        <v>#REF!</v>
      </c>
      <c r="GO2" t="e">
        <f>AND('Strategic Summary'!#REF!,"AAAAABPrn8Q=")</f>
        <v>#REF!</v>
      </c>
      <c r="GP2" t="e">
        <f>AND('Strategic Summary'!#REF!,"AAAAABPrn8U=")</f>
        <v>#REF!</v>
      </c>
      <c r="GQ2" t="e">
        <f>AND('Strategic Summary'!#REF!,"AAAAABPrn8Y=")</f>
        <v>#REF!</v>
      </c>
      <c r="GR2" t="e">
        <f>AND('Strategic Summary'!#REF!,"AAAAABPrn8c=")</f>
        <v>#REF!</v>
      </c>
      <c r="GS2" t="e">
        <f>IF('Strategic Summary'!#REF!,"AAAAABPrn8g=",0)</f>
        <v>#REF!</v>
      </c>
      <c r="GT2" t="e">
        <f>AND('Strategic Summary'!#REF!,"AAAAABPrn8k=")</f>
        <v>#REF!</v>
      </c>
      <c r="GU2" t="e">
        <f>AND('Strategic Summary'!#REF!,"AAAAABPrn8o=")</f>
        <v>#REF!</v>
      </c>
      <c r="GV2" t="e">
        <f>AND('Strategic Summary'!#REF!,"AAAAABPrn8s=")</f>
        <v>#REF!</v>
      </c>
      <c r="GW2" t="e">
        <f>AND('Strategic Summary'!#REF!,"AAAAABPrn8w=")</f>
        <v>#REF!</v>
      </c>
      <c r="GX2" t="e">
        <f>AND('Strategic Summary'!#REF!,"AAAAABPrn80=")</f>
        <v>#REF!</v>
      </c>
      <c r="GY2" t="e">
        <f>AND('Strategic Summary'!#REF!,"AAAAABPrn84=")</f>
        <v>#REF!</v>
      </c>
      <c r="GZ2" t="e">
        <f>AND('Strategic Summary'!#REF!,"AAAAABPrn88=")</f>
        <v>#REF!</v>
      </c>
      <c r="HA2" t="e">
        <f>AND('Strategic Summary'!#REF!,"AAAAABPrn9A=")</f>
        <v>#REF!</v>
      </c>
      <c r="HB2" t="e">
        <f>AND('Strategic Summary'!#REF!,"AAAAABPrn9E=")</f>
        <v>#REF!</v>
      </c>
      <c r="HC2" t="e">
        <f>AND('Strategic Summary'!#REF!,"AAAAABPrn9I=")</f>
        <v>#REF!</v>
      </c>
      <c r="HD2" t="e">
        <f>AND('Strategic Summary'!#REF!,"AAAAABPrn9M=")</f>
        <v>#REF!</v>
      </c>
      <c r="HE2" t="e">
        <f>AND('Strategic Summary'!#REF!,"AAAAABPrn9Q=")</f>
        <v>#REF!</v>
      </c>
      <c r="HF2" t="e">
        <f>AND('Strategic Summary'!#REF!,"AAAAABPrn9U=")</f>
        <v>#REF!</v>
      </c>
      <c r="HG2" t="e">
        <f>AND('Strategic Summary'!#REF!,"AAAAABPrn9Y=")</f>
        <v>#REF!</v>
      </c>
      <c r="HH2" t="e">
        <f>AND('Strategic Summary'!#REF!,"AAAAABPrn9c=")</f>
        <v>#REF!</v>
      </c>
      <c r="HI2" t="e">
        <f>AND('Strategic Summary'!#REF!,"AAAAABPrn9g=")</f>
        <v>#REF!</v>
      </c>
      <c r="HJ2" t="e">
        <f>AND('Strategic Summary'!#REF!,"AAAAABPrn9k=")</f>
        <v>#REF!</v>
      </c>
      <c r="HK2" t="e">
        <f>AND('Strategic Summary'!#REF!,"AAAAABPrn9o=")</f>
        <v>#REF!</v>
      </c>
      <c r="HL2" t="e">
        <f>IF('Strategic Summary'!#REF!,"AAAAABPrn9s=",0)</f>
        <v>#REF!</v>
      </c>
      <c r="HM2" t="e">
        <f>AND('Strategic Summary'!#REF!,"AAAAABPrn9w=")</f>
        <v>#REF!</v>
      </c>
      <c r="HN2" t="e">
        <f>AND('Strategic Summary'!#REF!,"AAAAABPrn90=")</f>
        <v>#REF!</v>
      </c>
      <c r="HO2" t="e">
        <f>AND('Strategic Summary'!#REF!,"AAAAABPrn94=")</f>
        <v>#REF!</v>
      </c>
      <c r="HP2" t="e">
        <f>AND('Strategic Summary'!#REF!,"AAAAABPrn98=")</f>
        <v>#REF!</v>
      </c>
      <c r="HQ2" t="e">
        <f>AND('Strategic Summary'!#REF!,"AAAAABPrn+A=")</f>
        <v>#REF!</v>
      </c>
      <c r="HR2" t="e">
        <f>AND('Strategic Summary'!#REF!,"AAAAABPrn+E=")</f>
        <v>#REF!</v>
      </c>
      <c r="HS2" t="e">
        <f>AND('Strategic Summary'!#REF!,"AAAAABPrn+I=")</f>
        <v>#REF!</v>
      </c>
      <c r="HT2" t="e">
        <f>AND('Strategic Summary'!#REF!,"AAAAABPrn+M=")</f>
        <v>#REF!</v>
      </c>
      <c r="HU2" t="e">
        <f>AND('Strategic Summary'!#REF!,"AAAAABPrn+Q=")</f>
        <v>#REF!</v>
      </c>
      <c r="HV2" t="e">
        <f>AND('Strategic Summary'!#REF!,"AAAAABPrn+U=")</f>
        <v>#REF!</v>
      </c>
      <c r="HW2" t="e">
        <f>AND('Strategic Summary'!#REF!,"AAAAABPrn+Y=")</f>
        <v>#REF!</v>
      </c>
      <c r="HX2" t="e">
        <f>AND('Strategic Summary'!#REF!,"AAAAABPrn+c=")</f>
        <v>#REF!</v>
      </c>
      <c r="HY2" t="e">
        <f>AND('Strategic Summary'!#REF!,"AAAAABPrn+g=")</f>
        <v>#REF!</v>
      </c>
      <c r="HZ2" t="e">
        <f>AND('Strategic Summary'!#REF!,"AAAAABPrn+k=")</f>
        <v>#REF!</v>
      </c>
      <c r="IA2" t="e">
        <f>AND('Strategic Summary'!#REF!,"AAAAABPrn+o=")</f>
        <v>#REF!</v>
      </c>
      <c r="IB2" t="e">
        <f>AND('Strategic Summary'!#REF!,"AAAAABPrn+s=")</f>
        <v>#REF!</v>
      </c>
      <c r="IC2" t="e">
        <f>AND('Strategic Summary'!#REF!,"AAAAABPrn+w=")</f>
        <v>#REF!</v>
      </c>
      <c r="ID2" t="e">
        <f>AND('Strategic Summary'!#REF!,"AAAAABPrn+0=")</f>
        <v>#REF!</v>
      </c>
      <c r="IE2" t="e">
        <f>IF('Strategic Summary'!#REF!,"AAAAABPrn+4=",0)</f>
        <v>#REF!</v>
      </c>
      <c r="IF2" t="e">
        <f>AND('Strategic Summary'!#REF!,"AAAAABPrn+8=")</f>
        <v>#REF!</v>
      </c>
      <c r="IG2" t="e">
        <f>AND('Strategic Summary'!#REF!,"AAAAABPrn/A=")</f>
        <v>#REF!</v>
      </c>
      <c r="IH2" t="e">
        <f>AND('Strategic Summary'!#REF!,"AAAAABPrn/E=")</f>
        <v>#REF!</v>
      </c>
      <c r="II2" t="e">
        <f>AND('Strategic Summary'!#REF!,"AAAAABPrn/I=")</f>
        <v>#REF!</v>
      </c>
      <c r="IJ2" t="e">
        <f>AND('Strategic Summary'!#REF!,"AAAAABPrn/M=")</f>
        <v>#REF!</v>
      </c>
      <c r="IK2" t="e">
        <f>AND('Strategic Summary'!#REF!,"AAAAABPrn/Q=")</f>
        <v>#REF!</v>
      </c>
      <c r="IL2" t="e">
        <f>AND('Strategic Summary'!#REF!,"AAAAABPrn/U=")</f>
        <v>#REF!</v>
      </c>
      <c r="IM2" t="e">
        <f>AND('Strategic Summary'!#REF!,"AAAAABPrn/Y=")</f>
        <v>#REF!</v>
      </c>
      <c r="IN2" t="e">
        <f>AND('Strategic Summary'!#REF!,"AAAAABPrn/c=")</f>
        <v>#REF!</v>
      </c>
      <c r="IO2" t="e">
        <f>AND('Strategic Summary'!#REF!,"AAAAABPrn/g=")</f>
        <v>#REF!</v>
      </c>
      <c r="IP2" t="e">
        <f>AND('Strategic Summary'!#REF!,"AAAAABPrn/k=")</f>
        <v>#REF!</v>
      </c>
      <c r="IQ2" t="e">
        <f>AND('Strategic Summary'!#REF!,"AAAAABPrn/o=")</f>
        <v>#REF!</v>
      </c>
      <c r="IR2" t="e">
        <f>AND('Strategic Summary'!#REF!,"AAAAABPrn/s=")</f>
        <v>#REF!</v>
      </c>
      <c r="IS2" t="e">
        <f>AND('Strategic Summary'!#REF!,"AAAAABPrn/w=")</f>
        <v>#REF!</v>
      </c>
      <c r="IT2" t="e">
        <f>AND('Strategic Summary'!#REF!,"AAAAABPrn/0=")</f>
        <v>#REF!</v>
      </c>
      <c r="IU2" t="e">
        <f>AND('Strategic Summary'!#REF!,"AAAAABPrn/4=")</f>
        <v>#REF!</v>
      </c>
      <c r="IV2" t="e">
        <f>AND('Strategic Summary'!#REF!,"AAAAABPrn/8=")</f>
        <v>#REF!</v>
      </c>
    </row>
    <row r="3" spans="1:256" ht="12.75" customHeight="1" x14ac:dyDescent="0.2">
      <c r="A3" t="e">
        <f>AND('Strategic Summary'!#REF!,"AAAAACsktwA=")</f>
        <v>#REF!</v>
      </c>
      <c r="B3" t="e">
        <f>IF('Strategic Summary'!#REF!,"AAAAACsktwE=",0)</f>
        <v>#REF!</v>
      </c>
      <c r="C3" t="e">
        <f>AND('Strategic Summary'!#REF!,"AAAAACsktwI=")</f>
        <v>#REF!</v>
      </c>
      <c r="D3" t="e">
        <f>AND('Strategic Summary'!#REF!,"AAAAACsktwM=")</f>
        <v>#REF!</v>
      </c>
      <c r="E3" t="e">
        <f>AND('Strategic Summary'!#REF!,"AAAAACsktwQ=")</f>
        <v>#REF!</v>
      </c>
      <c r="F3" t="e">
        <f>AND('Strategic Summary'!#REF!,"AAAAACsktwU=")</f>
        <v>#REF!</v>
      </c>
      <c r="G3" t="e">
        <f>AND('Strategic Summary'!#REF!,"AAAAACsktwY=")</f>
        <v>#REF!</v>
      </c>
      <c r="H3" t="e">
        <f>AND('Strategic Summary'!#REF!,"AAAAACsktwc=")</f>
        <v>#REF!</v>
      </c>
      <c r="I3" t="e">
        <f>AND('Strategic Summary'!#REF!,"AAAAACsktwg=")</f>
        <v>#REF!</v>
      </c>
      <c r="J3" t="e">
        <f>AND('Strategic Summary'!#REF!,"AAAAACsktwk=")</f>
        <v>#REF!</v>
      </c>
      <c r="K3" t="e">
        <f>AND('Strategic Summary'!#REF!,"AAAAACsktwo=")</f>
        <v>#REF!</v>
      </c>
      <c r="L3" t="e">
        <f>AND('Strategic Summary'!#REF!,"AAAAACsktws=")</f>
        <v>#REF!</v>
      </c>
      <c r="M3" t="e">
        <f>AND('Strategic Summary'!#REF!,"AAAAACsktww=")</f>
        <v>#REF!</v>
      </c>
      <c r="N3" t="e">
        <f>AND('Strategic Summary'!#REF!,"AAAAACsktw0=")</f>
        <v>#REF!</v>
      </c>
      <c r="O3" t="e">
        <f>AND('Strategic Summary'!#REF!,"AAAAACsktw4=")</f>
        <v>#REF!</v>
      </c>
      <c r="P3" t="e">
        <f>AND('Strategic Summary'!#REF!,"AAAAACsktw8=")</f>
        <v>#REF!</v>
      </c>
      <c r="Q3" t="e">
        <f>AND('Strategic Summary'!#REF!,"AAAAACsktxA=")</f>
        <v>#REF!</v>
      </c>
      <c r="R3" t="e">
        <f>AND('Strategic Summary'!#REF!,"AAAAACsktxE=")</f>
        <v>#REF!</v>
      </c>
      <c r="S3" t="e">
        <f>AND('Strategic Summary'!#REF!,"AAAAACsktxI=")</f>
        <v>#REF!</v>
      </c>
      <c r="T3" t="e">
        <f>AND('Strategic Summary'!#REF!,"AAAAACsktxM=")</f>
        <v>#REF!</v>
      </c>
      <c r="U3" t="e">
        <f>IF('Strategic Summary'!#REF!,"AAAAACsktxQ=",0)</f>
        <v>#REF!</v>
      </c>
      <c r="V3" t="e">
        <f>AND('Strategic Summary'!#REF!,"AAAAACsktxU=")</f>
        <v>#REF!</v>
      </c>
      <c r="W3" t="e">
        <f>AND('Strategic Summary'!#REF!,"AAAAACsktxY=")</f>
        <v>#REF!</v>
      </c>
      <c r="X3" t="e">
        <f>AND('Strategic Summary'!#REF!,"AAAAACsktxc=")</f>
        <v>#REF!</v>
      </c>
      <c r="Y3" t="e">
        <f>AND('Strategic Summary'!#REF!,"AAAAACsktxg=")</f>
        <v>#REF!</v>
      </c>
      <c r="Z3" t="e">
        <f>AND('Strategic Summary'!#REF!,"AAAAACsktxk=")</f>
        <v>#REF!</v>
      </c>
      <c r="AA3" t="e">
        <f>AND('Strategic Summary'!#REF!,"AAAAACsktxo=")</f>
        <v>#REF!</v>
      </c>
      <c r="AB3" t="e">
        <f>AND('Strategic Summary'!#REF!,"AAAAACsktxs=")</f>
        <v>#REF!</v>
      </c>
      <c r="AC3" t="e">
        <f>AND('Strategic Summary'!#REF!,"AAAAACsktxw=")</f>
        <v>#REF!</v>
      </c>
      <c r="AD3" t="e">
        <f>AND('Strategic Summary'!#REF!,"AAAAACsktx0=")</f>
        <v>#REF!</v>
      </c>
      <c r="AE3" t="e">
        <f>AND('Strategic Summary'!#REF!,"AAAAACsktx4=")</f>
        <v>#REF!</v>
      </c>
      <c r="AF3" t="e">
        <f>AND('Strategic Summary'!#REF!,"AAAAACsktx8=")</f>
        <v>#REF!</v>
      </c>
      <c r="AG3" t="e">
        <f>AND('Strategic Summary'!#REF!,"AAAAACsktyA=")</f>
        <v>#REF!</v>
      </c>
      <c r="AH3" t="e">
        <f>AND('Strategic Summary'!#REF!,"AAAAACsktyE=")</f>
        <v>#REF!</v>
      </c>
      <c r="AI3" t="e">
        <f>AND('Strategic Summary'!#REF!,"AAAAACsktyI=")</f>
        <v>#REF!</v>
      </c>
      <c r="AJ3" t="e">
        <f>AND('Strategic Summary'!#REF!,"AAAAACsktyM=")</f>
        <v>#REF!</v>
      </c>
      <c r="AK3" t="e">
        <f>AND('Strategic Summary'!#REF!,"AAAAACsktyQ=")</f>
        <v>#REF!</v>
      </c>
      <c r="AL3" t="e">
        <f>AND('Strategic Summary'!#REF!,"AAAAACsktyU=")</f>
        <v>#REF!</v>
      </c>
      <c r="AM3" t="e">
        <f>AND('Strategic Summary'!#REF!,"AAAAACsktyY=")</f>
        <v>#REF!</v>
      </c>
      <c r="AN3" t="e">
        <f>IF('Strategic Summary'!#REF!,"AAAAACsktyc=",0)</f>
        <v>#REF!</v>
      </c>
      <c r="AO3" t="e">
        <f>AND('Strategic Summary'!#REF!,"AAAAACsktyg=")</f>
        <v>#REF!</v>
      </c>
      <c r="AP3" t="e">
        <f>AND('Strategic Summary'!#REF!,"AAAAACsktyk=")</f>
        <v>#REF!</v>
      </c>
      <c r="AQ3" t="e">
        <f>AND('Strategic Summary'!#REF!,"AAAAACsktyo=")</f>
        <v>#REF!</v>
      </c>
      <c r="AR3" t="e">
        <f>AND('Strategic Summary'!#REF!,"AAAAACsktys=")</f>
        <v>#REF!</v>
      </c>
      <c r="AS3" t="e">
        <f>AND('Strategic Summary'!#REF!,"AAAAACsktyw=")</f>
        <v>#REF!</v>
      </c>
      <c r="AT3" t="e">
        <f>AND('Strategic Summary'!#REF!,"AAAAACskty0=")</f>
        <v>#REF!</v>
      </c>
      <c r="AU3" t="e">
        <f>AND('Strategic Summary'!#REF!,"AAAAACskty4=")</f>
        <v>#REF!</v>
      </c>
      <c r="AV3" t="e">
        <f>AND('Strategic Summary'!#REF!,"AAAAACskty8=")</f>
        <v>#REF!</v>
      </c>
      <c r="AW3" t="e">
        <f>AND('Strategic Summary'!#REF!,"AAAAACsktzA=")</f>
        <v>#REF!</v>
      </c>
      <c r="AX3" t="e">
        <f>AND('Strategic Summary'!#REF!,"AAAAACsktzE=")</f>
        <v>#REF!</v>
      </c>
      <c r="AY3" t="e">
        <f>AND('Strategic Summary'!#REF!,"AAAAACsktzI=")</f>
        <v>#REF!</v>
      </c>
      <c r="AZ3" t="e">
        <f>AND('Strategic Summary'!#REF!,"AAAAACsktzM=")</f>
        <v>#REF!</v>
      </c>
      <c r="BA3" t="e">
        <f>AND('Strategic Summary'!#REF!,"AAAAACsktzQ=")</f>
        <v>#REF!</v>
      </c>
      <c r="BB3" t="e">
        <f>AND('Strategic Summary'!#REF!,"AAAAACsktzU=")</f>
        <v>#REF!</v>
      </c>
      <c r="BC3" t="e">
        <f>AND('Strategic Summary'!#REF!,"AAAAACsktzY=")</f>
        <v>#REF!</v>
      </c>
      <c r="BD3" t="e">
        <f>AND('Strategic Summary'!#REF!,"AAAAACsktzc=")</f>
        <v>#REF!</v>
      </c>
      <c r="BE3" t="e">
        <f>AND('Strategic Summary'!#REF!,"AAAAACsktzg=")</f>
        <v>#REF!</v>
      </c>
      <c r="BF3" t="e">
        <f>AND('Strategic Summary'!#REF!,"AAAAACsktzk=")</f>
        <v>#REF!</v>
      </c>
      <c r="BG3" t="e">
        <f>IF('Strategic Summary'!#REF!,"AAAAACsktzo=",0)</f>
        <v>#REF!</v>
      </c>
      <c r="BH3" t="e">
        <f>AND('Strategic Summary'!#REF!,"AAAAACsktzs=")</f>
        <v>#REF!</v>
      </c>
      <c r="BI3" t="e">
        <f>AND('Strategic Summary'!#REF!,"AAAAACsktzw=")</f>
        <v>#REF!</v>
      </c>
      <c r="BJ3" t="e">
        <f>AND('Strategic Summary'!#REF!,"AAAAACsktz0=")</f>
        <v>#REF!</v>
      </c>
      <c r="BK3" t="e">
        <f>AND('Strategic Summary'!#REF!,"AAAAACsktz4=")</f>
        <v>#REF!</v>
      </c>
      <c r="BL3" t="e">
        <f>AND('Strategic Summary'!#REF!,"AAAAACsktz8=")</f>
        <v>#REF!</v>
      </c>
      <c r="BM3" t="e">
        <f>AND('Strategic Summary'!#REF!,"AAAAACskt0A=")</f>
        <v>#REF!</v>
      </c>
      <c r="BN3" t="e">
        <f>AND('Strategic Summary'!#REF!,"AAAAACskt0E=")</f>
        <v>#REF!</v>
      </c>
      <c r="BO3" t="e">
        <f>AND('Strategic Summary'!#REF!,"AAAAACskt0I=")</f>
        <v>#REF!</v>
      </c>
      <c r="BP3" t="e">
        <f>AND('Strategic Summary'!#REF!,"AAAAACskt0M=")</f>
        <v>#REF!</v>
      </c>
      <c r="BQ3" t="e">
        <f>AND('Strategic Summary'!#REF!,"AAAAACskt0Q=")</f>
        <v>#REF!</v>
      </c>
      <c r="BR3" t="e">
        <f>AND('Strategic Summary'!#REF!,"AAAAACskt0U=")</f>
        <v>#REF!</v>
      </c>
      <c r="BS3" t="e">
        <f>AND('Strategic Summary'!#REF!,"AAAAACskt0Y=")</f>
        <v>#REF!</v>
      </c>
      <c r="BT3" t="e">
        <f>AND('Strategic Summary'!#REF!,"AAAAACskt0c=")</f>
        <v>#REF!</v>
      </c>
      <c r="BU3" t="e">
        <f>AND('Strategic Summary'!#REF!,"AAAAACskt0g=")</f>
        <v>#REF!</v>
      </c>
      <c r="BV3" t="e">
        <f>AND('Strategic Summary'!#REF!,"AAAAACskt0k=")</f>
        <v>#REF!</v>
      </c>
      <c r="BW3" t="e">
        <f>AND('Strategic Summary'!#REF!,"AAAAACskt0o=")</f>
        <v>#REF!</v>
      </c>
      <c r="BX3" t="e">
        <f>AND('Strategic Summary'!#REF!,"AAAAACskt0s=")</f>
        <v>#REF!</v>
      </c>
      <c r="BY3" t="e">
        <f>AND('Strategic Summary'!#REF!,"AAAAACskt0w=")</f>
        <v>#REF!</v>
      </c>
      <c r="BZ3" t="e">
        <f>IF('Strategic Summary'!#REF!,"AAAAACskt00=",0)</f>
        <v>#REF!</v>
      </c>
      <c r="CA3" t="e">
        <f>AND('Strategic Summary'!#REF!,"AAAAACskt04=")</f>
        <v>#REF!</v>
      </c>
      <c r="CB3" t="e">
        <f>AND('Strategic Summary'!#REF!,"AAAAACskt08=")</f>
        <v>#REF!</v>
      </c>
      <c r="CC3" t="e">
        <f>AND('Strategic Summary'!#REF!,"AAAAACskt1A=")</f>
        <v>#REF!</v>
      </c>
      <c r="CD3" t="e">
        <f>AND('Strategic Summary'!#REF!,"AAAAACskt1E=")</f>
        <v>#REF!</v>
      </c>
      <c r="CE3" t="e">
        <f>AND('Strategic Summary'!#REF!,"AAAAACskt1I=")</f>
        <v>#REF!</v>
      </c>
      <c r="CF3" t="e">
        <f>AND('Strategic Summary'!#REF!,"AAAAACskt1M=")</f>
        <v>#REF!</v>
      </c>
      <c r="CG3" t="e">
        <f>AND('Strategic Summary'!#REF!,"AAAAACskt1Q=")</f>
        <v>#REF!</v>
      </c>
      <c r="CH3" t="e">
        <f>AND('Strategic Summary'!#REF!,"AAAAACskt1U=")</f>
        <v>#REF!</v>
      </c>
      <c r="CI3" t="e">
        <f>AND('Strategic Summary'!#REF!,"AAAAACskt1Y=")</f>
        <v>#REF!</v>
      </c>
      <c r="CJ3" t="e">
        <f>AND('Strategic Summary'!#REF!,"AAAAACskt1c=")</f>
        <v>#REF!</v>
      </c>
      <c r="CK3" t="e">
        <f>AND('Strategic Summary'!#REF!,"AAAAACskt1g=")</f>
        <v>#REF!</v>
      </c>
      <c r="CL3" t="e">
        <f>AND('Strategic Summary'!#REF!,"AAAAACskt1k=")</f>
        <v>#REF!</v>
      </c>
      <c r="CM3" t="e">
        <f>AND('Strategic Summary'!#REF!,"AAAAACskt1o=")</f>
        <v>#REF!</v>
      </c>
      <c r="CN3" t="e">
        <f>AND('Strategic Summary'!#REF!,"AAAAACskt1s=")</f>
        <v>#REF!</v>
      </c>
      <c r="CO3" t="e">
        <f>AND('Strategic Summary'!#REF!,"AAAAACskt1w=")</f>
        <v>#REF!</v>
      </c>
      <c r="CP3" t="e">
        <f>AND('Strategic Summary'!#REF!,"AAAAACskt10=")</f>
        <v>#REF!</v>
      </c>
      <c r="CQ3" t="e">
        <f>AND('Strategic Summary'!#REF!,"AAAAACskt14=")</f>
        <v>#REF!</v>
      </c>
      <c r="CR3" t="e">
        <f>AND('Strategic Summary'!#REF!,"AAAAACskt18=")</f>
        <v>#REF!</v>
      </c>
      <c r="CS3">
        <f>IF('Strategic Summary'!$A39:$IV39,"AAAAACskt2A=",0)</f>
        <v>0</v>
      </c>
      <c r="CT3" t="e">
        <f>AND('Strategic Summary'!A39,"AAAAACskt2E=")</f>
        <v>#VALUE!</v>
      </c>
      <c r="CU3" t="e">
        <f>AND('Strategic Summary'!B39,"AAAAACskt2I=")</f>
        <v>#VALUE!</v>
      </c>
      <c r="CV3" t="e">
        <f>AND('Strategic Summary'!C39,"AAAAACskt2M=")</f>
        <v>#VALUE!</v>
      </c>
      <c r="CW3" t="e">
        <f>AND('Strategic Summary'!D39,"AAAAACskt2Q=")</f>
        <v>#VALUE!</v>
      </c>
      <c r="CX3" t="e">
        <f>AND('Strategic Summary'!E39,"AAAAACskt2U=")</f>
        <v>#VALUE!</v>
      </c>
      <c r="CY3" t="e">
        <f>AND('Strategic Summary'!F39,"AAAAACskt2Y=")</f>
        <v>#VALUE!</v>
      </c>
      <c r="CZ3" t="e">
        <f>AND('Strategic Summary'!G39,"AAAAACskt2c=")</f>
        <v>#VALUE!</v>
      </c>
      <c r="DA3" t="e">
        <f>AND('Strategic Summary'!H39,"AAAAACskt2g=")</f>
        <v>#VALUE!</v>
      </c>
      <c r="DB3" t="e">
        <f>AND('Strategic Summary'!I39,"AAAAACskt2k=")</f>
        <v>#VALUE!</v>
      </c>
      <c r="DC3" t="e">
        <f>AND('Strategic Summary'!J39,"AAAAACskt2o=")</f>
        <v>#VALUE!</v>
      </c>
      <c r="DD3" t="e">
        <f>AND('Strategic Summary'!K39,"AAAAACskt2s=")</f>
        <v>#VALUE!</v>
      </c>
      <c r="DE3" t="e">
        <f>AND('Strategic Summary'!L39,"AAAAACskt2w=")</f>
        <v>#VALUE!</v>
      </c>
      <c r="DF3" t="e">
        <f>AND('Strategic Summary'!M39,"AAAAACskt20=")</f>
        <v>#VALUE!</v>
      </c>
      <c r="DG3" t="e">
        <f>AND('Strategic Summary'!N39,"AAAAACskt24=")</f>
        <v>#VALUE!</v>
      </c>
      <c r="DH3" t="e">
        <f>AND('Strategic Summary'!O39,"AAAAACskt28=")</f>
        <v>#VALUE!</v>
      </c>
      <c r="DI3" t="e">
        <f>AND('Strategic Summary'!P39,"AAAAACskt3A=")</f>
        <v>#VALUE!</v>
      </c>
      <c r="DJ3" t="e">
        <f>AND('Strategic Summary'!Q39,"AAAAACskt3E=")</f>
        <v>#VALUE!</v>
      </c>
      <c r="DK3" t="e">
        <f>AND('Strategic Summary'!R39,"AAAAACskt3I=")</f>
        <v>#VALUE!</v>
      </c>
      <c r="DL3">
        <f>IF('Strategic Summary'!$A40:$IV40,"AAAAACskt3M=",0)</f>
        <v>0</v>
      </c>
      <c r="DM3" t="e">
        <f>AND('Strategic Summary'!A40,"AAAAACskt3Q=")</f>
        <v>#VALUE!</v>
      </c>
      <c r="DN3" t="e">
        <f>AND('Strategic Summary'!B40,"AAAAACskt3U=")</f>
        <v>#VALUE!</v>
      </c>
      <c r="DO3" t="e">
        <f>AND('Strategic Summary'!C40,"AAAAACskt3Y=")</f>
        <v>#VALUE!</v>
      </c>
      <c r="DP3" t="e">
        <f>AND('Strategic Summary'!D40,"AAAAACskt3c=")</f>
        <v>#VALUE!</v>
      </c>
      <c r="DQ3" t="e">
        <f>AND('Strategic Summary'!E40,"AAAAACskt3g=")</f>
        <v>#VALUE!</v>
      </c>
      <c r="DR3" t="e">
        <f>AND('Strategic Summary'!F40,"AAAAACskt3k=")</f>
        <v>#VALUE!</v>
      </c>
      <c r="DS3" t="e">
        <f>AND('Strategic Summary'!G40,"AAAAACskt3o=")</f>
        <v>#VALUE!</v>
      </c>
      <c r="DT3" t="e">
        <f>AND('Strategic Summary'!H40,"AAAAACskt3s=")</f>
        <v>#VALUE!</v>
      </c>
      <c r="DU3" t="e">
        <f>AND('Strategic Summary'!I40,"AAAAACskt3w=")</f>
        <v>#VALUE!</v>
      </c>
      <c r="DV3" t="e">
        <f>AND('Strategic Summary'!J40,"AAAAACskt30=")</f>
        <v>#VALUE!</v>
      </c>
      <c r="DW3" t="e">
        <f>AND('Strategic Summary'!K40,"AAAAACskt34=")</f>
        <v>#VALUE!</v>
      </c>
      <c r="DX3" t="e">
        <f>AND('Strategic Summary'!L40,"AAAAACskt38=")</f>
        <v>#VALUE!</v>
      </c>
      <c r="DY3" t="e">
        <f>AND('Strategic Summary'!M40,"AAAAACskt4A=")</f>
        <v>#VALUE!</v>
      </c>
      <c r="DZ3" t="e">
        <f>AND('Strategic Summary'!N40,"AAAAACskt4E=")</f>
        <v>#VALUE!</v>
      </c>
      <c r="EA3" t="e">
        <f>AND('Strategic Summary'!O40,"AAAAACskt4I=")</f>
        <v>#VALUE!</v>
      </c>
      <c r="EB3" t="e">
        <f>AND('Strategic Summary'!P40,"AAAAACskt4M=")</f>
        <v>#VALUE!</v>
      </c>
      <c r="EC3" t="e">
        <f>AND('Strategic Summary'!Q40,"AAAAACskt4Q=")</f>
        <v>#VALUE!</v>
      </c>
      <c r="ED3" t="e">
        <f>AND('Strategic Summary'!R40,"AAAAACskt4U=")</f>
        <v>#VALUE!</v>
      </c>
      <c r="EE3" t="e">
        <f>IF('Strategic Summary'!#REF!,"AAAAACskt4Y=",0)</f>
        <v>#REF!</v>
      </c>
      <c r="EF3" t="e">
        <f>AND('Strategic Summary'!#REF!,"AAAAACskt4c=")</f>
        <v>#REF!</v>
      </c>
      <c r="EG3" t="e">
        <f>AND('Strategic Summary'!#REF!,"AAAAACskt4g=")</f>
        <v>#REF!</v>
      </c>
      <c r="EH3" t="e">
        <f>AND('Strategic Summary'!#REF!,"AAAAACskt4k=")</f>
        <v>#REF!</v>
      </c>
      <c r="EI3" t="e">
        <f>AND('Strategic Summary'!#REF!,"AAAAACskt4o=")</f>
        <v>#REF!</v>
      </c>
      <c r="EJ3" t="e">
        <f>AND('Strategic Summary'!#REF!,"AAAAACskt4s=")</f>
        <v>#REF!</v>
      </c>
      <c r="EK3" t="e">
        <f>AND('Strategic Summary'!#REF!,"AAAAACskt4w=")</f>
        <v>#REF!</v>
      </c>
      <c r="EL3" t="e">
        <f>AND('Strategic Summary'!#REF!,"AAAAACskt40=")</f>
        <v>#REF!</v>
      </c>
      <c r="EM3" t="e">
        <f>AND('Strategic Summary'!#REF!,"AAAAACskt44=")</f>
        <v>#REF!</v>
      </c>
      <c r="EN3" t="e">
        <f>AND('Strategic Summary'!#REF!,"AAAAACskt48=")</f>
        <v>#REF!</v>
      </c>
      <c r="EO3" t="e">
        <f>AND('Strategic Summary'!#REF!,"AAAAACskt5A=")</f>
        <v>#REF!</v>
      </c>
      <c r="EP3" t="e">
        <f>AND('Strategic Summary'!#REF!,"AAAAACskt5E=")</f>
        <v>#REF!</v>
      </c>
      <c r="EQ3" t="e">
        <f>AND('Strategic Summary'!#REF!,"AAAAACskt5I=")</f>
        <v>#REF!</v>
      </c>
      <c r="ER3" t="e">
        <f>AND('Strategic Summary'!#REF!,"AAAAACskt5M=")</f>
        <v>#REF!</v>
      </c>
      <c r="ES3" t="e">
        <f>AND('Strategic Summary'!#REF!,"AAAAACskt5Q=")</f>
        <v>#REF!</v>
      </c>
      <c r="ET3" t="e">
        <f>AND('Strategic Summary'!#REF!,"AAAAACskt5U=")</f>
        <v>#REF!</v>
      </c>
      <c r="EU3" t="e">
        <f>AND('Strategic Summary'!#REF!,"AAAAACskt5Y=")</f>
        <v>#REF!</v>
      </c>
      <c r="EV3" t="e">
        <f>AND('Strategic Summary'!#REF!,"AAAAACskt5c=")</f>
        <v>#REF!</v>
      </c>
      <c r="EW3" t="e">
        <f>AND('Strategic Summary'!#REF!,"AAAAACskt5g=")</f>
        <v>#REF!</v>
      </c>
      <c r="EX3" t="e">
        <f>IF('Strategic Summary'!#REF!,"AAAAACskt5k=",0)</f>
        <v>#REF!</v>
      </c>
      <c r="EY3" t="e">
        <f>AND('Strategic Summary'!#REF!,"AAAAACskt5o=")</f>
        <v>#REF!</v>
      </c>
      <c r="EZ3" t="e">
        <f>AND('Strategic Summary'!#REF!,"AAAAACskt5s=")</f>
        <v>#REF!</v>
      </c>
      <c r="FA3" t="e">
        <f>AND('Strategic Summary'!#REF!,"AAAAACskt5w=")</f>
        <v>#REF!</v>
      </c>
      <c r="FB3" t="e">
        <f>AND('Strategic Summary'!#REF!,"AAAAACskt50=")</f>
        <v>#REF!</v>
      </c>
      <c r="FC3" t="e">
        <f>AND('Strategic Summary'!#REF!,"AAAAACskt54=")</f>
        <v>#REF!</v>
      </c>
      <c r="FD3" t="e">
        <f>AND('Strategic Summary'!#REF!,"AAAAACskt58=")</f>
        <v>#REF!</v>
      </c>
      <c r="FE3" t="e">
        <f>AND('Strategic Summary'!#REF!,"AAAAACskt6A=")</f>
        <v>#REF!</v>
      </c>
      <c r="FF3" t="e">
        <f>AND('Strategic Summary'!#REF!,"AAAAACskt6E=")</f>
        <v>#REF!</v>
      </c>
      <c r="FG3" t="e">
        <f>AND('Strategic Summary'!#REF!,"AAAAACskt6I=")</f>
        <v>#REF!</v>
      </c>
      <c r="FH3" t="e">
        <f>AND('Strategic Summary'!#REF!,"AAAAACskt6M=")</f>
        <v>#REF!</v>
      </c>
      <c r="FI3" t="e">
        <f>AND('Strategic Summary'!#REF!,"AAAAACskt6Q=")</f>
        <v>#REF!</v>
      </c>
      <c r="FJ3" t="e">
        <f>AND('Strategic Summary'!#REF!,"AAAAACskt6U=")</f>
        <v>#REF!</v>
      </c>
      <c r="FK3" t="e">
        <f>AND('Strategic Summary'!#REF!,"AAAAACskt6Y=")</f>
        <v>#REF!</v>
      </c>
      <c r="FL3" t="e">
        <f>AND('Strategic Summary'!#REF!,"AAAAACskt6c=")</f>
        <v>#REF!</v>
      </c>
      <c r="FM3" t="e">
        <f>AND('Strategic Summary'!#REF!,"AAAAACskt6g=")</f>
        <v>#REF!</v>
      </c>
      <c r="FN3" t="e">
        <f>AND('Strategic Summary'!#REF!,"AAAAACskt6k=")</f>
        <v>#REF!</v>
      </c>
      <c r="FO3" t="e">
        <f>AND('Strategic Summary'!#REF!,"AAAAACskt6o=")</f>
        <v>#REF!</v>
      </c>
      <c r="FP3" t="e">
        <f>AND('Strategic Summary'!#REF!,"AAAAACskt6s=")</f>
        <v>#REF!</v>
      </c>
      <c r="FQ3" t="e">
        <f>IF('Strategic Summary'!#REF!,"AAAAACskt6w=",0)</f>
        <v>#REF!</v>
      </c>
      <c r="FR3" t="e">
        <f>AND('Strategic Summary'!#REF!,"AAAAACskt60=")</f>
        <v>#REF!</v>
      </c>
      <c r="FS3" t="e">
        <f>AND('Strategic Summary'!#REF!,"AAAAACskt64=")</f>
        <v>#REF!</v>
      </c>
      <c r="FT3" t="e">
        <f>AND('Strategic Summary'!#REF!,"AAAAACskt68=")</f>
        <v>#REF!</v>
      </c>
      <c r="FU3" t="e">
        <f>AND('Strategic Summary'!#REF!,"AAAAACskt7A=")</f>
        <v>#REF!</v>
      </c>
      <c r="FV3" t="e">
        <f>AND('Strategic Summary'!#REF!,"AAAAACskt7E=")</f>
        <v>#REF!</v>
      </c>
      <c r="FW3" t="e">
        <f>AND('Strategic Summary'!#REF!,"AAAAACskt7I=")</f>
        <v>#REF!</v>
      </c>
      <c r="FX3" t="e">
        <f>AND('Strategic Summary'!#REF!,"AAAAACskt7M=")</f>
        <v>#REF!</v>
      </c>
      <c r="FY3" t="e">
        <f>AND('Strategic Summary'!#REF!,"AAAAACskt7Q=")</f>
        <v>#REF!</v>
      </c>
      <c r="FZ3" t="e">
        <f>AND('Strategic Summary'!#REF!,"AAAAACskt7U=")</f>
        <v>#REF!</v>
      </c>
      <c r="GA3" t="e">
        <f>AND('Strategic Summary'!#REF!,"AAAAACskt7Y=")</f>
        <v>#REF!</v>
      </c>
      <c r="GB3" t="e">
        <f>AND('Strategic Summary'!#REF!,"AAAAACskt7c=")</f>
        <v>#REF!</v>
      </c>
      <c r="GC3" t="e">
        <f>AND('Strategic Summary'!#REF!,"AAAAACskt7g=")</f>
        <v>#REF!</v>
      </c>
      <c r="GD3" t="e">
        <f>AND('Strategic Summary'!#REF!,"AAAAACskt7k=")</f>
        <v>#REF!</v>
      </c>
      <c r="GE3" t="e">
        <f>AND('Strategic Summary'!#REF!,"AAAAACskt7o=")</f>
        <v>#REF!</v>
      </c>
      <c r="GF3" t="e">
        <f>AND('Strategic Summary'!#REF!,"AAAAACskt7s=")</f>
        <v>#REF!</v>
      </c>
      <c r="GG3" t="e">
        <f>AND('Strategic Summary'!#REF!,"AAAAACskt7w=")</f>
        <v>#REF!</v>
      </c>
      <c r="GH3" t="e">
        <f>AND('Strategic Summary'!#REF!,"AAAAACskt70=")</f>
        <v>#REF!</v>
      </c>
      <c r="GI3" t="e">
        <f>AND('Strategic Summary'!#REF!,"AAAAACskt74=")</f>
        <v>#REF!</v>
      </c>
      <c r="GJ3" t="e">
        <f>IF('Strategic Summary'!#REF!,"AAAAACskt78=",0)</f>
        <v>#REF!</v>
      </c>
      <c r="GK3" t="e">
        <f>AND('Strategic Summary'!#REF!,"AAAAACskt8A=")</f>
        <v>#REF!</v>
      </c>
      <c r="GL3" t="e">
        <f>AND('Strategic Summary'!#REF!,"AAAAACskt8E=")</f>
        <v>#REF!</v>
      </c>
      <c r="GM3" t="e">
        <f>AND('Strategic Summary'!#REF!,"AAAAACskt8I=")</f>
        <v>#REF!</v>
      </c>
      <c r="GN3" t="e">
        <f>AND('Strategic Summary'!#REF!,"AAAAACskt8M=")</f>
        <v>#REF!</v>
      </c>
      <c r="GO3" t="e">
        <f>AND('Strategic Summary'!#REF!,"AAAAACskt8Q=")</f>
        <v>#REF!</v>
      </c>
      <c r="GP3" t="e">
        <f>AND('Strategic Summary'!#REF!,"AAAAACskt8U=")</f>
        <v>#REF!</v>
      </c>
      <c r="GQ3" t="e">
        <f>AND('Strategic Summary'!#REF!,"AAAAACskt8Y=")</f>
        <v>#REF!</v>
      </c>
      <c r="GR3" t="e">
        <f>AND('Strategic Summary'!#REF!,"AAAAACskt8c=")</f>
        <v>#REF!</v>
      </c>
      <c r="GS3" t="e">
        <f>AND('Strategic Summary'!#REF!,"AAAAACskt8g=")</f>
        <v>#REF!</v>
      </c>
      <c r="GT3" t="e">
        <f>AND('Strategic Summary'!#REF!,"AAAAACskt8k=")</f>
        <v>#REF!</v>
      </c>
      <c r="GU3" t="e">
        <f>AND('Strategic Summary'!#REF!,"AAAAACskt8o=")</f>
        <v>#REF!</v>
      </c>
      <c r="GV3" t="e">
        <f>AND('Strategic Summary'!#REF!,"AAAAACskt8s=")</f>
        <v>#REF!</v>
      </c>
      <c r="GW3" t="e">
        <f>AND('Strategic Summary'!#REF!,"AAAAACskt8w=")</f>
        <v>#REF!</v>
      </c>
      <c r="GX3" t="e">
        <f>AND('Strategic Summary'!#REF!,"AAAAACskt80=")</f>
        <v>#REF!</v>
      </c>
      <c r="GY3" t="e">
        <f>AND('Strategic Summary'!#REF!,"AAAAACskt84=")</f>
        <v>#REF!</v>
      </c>
      <c r="GZ3" t="e">
        <f>AND('Strategic Summary'!#REF!,"AAAAACskt88=")</f>
        <v>#REF!</v>
      </c>
      <c r="HA3" t="e">
        <f>AND('Strategic Summary'!#REF!,"AAAAACskt9A=")</f>
        <v>#REF!</v>
      </c>
      <c r="HB3" t="e">
        <f>AND('Strategic Summary'!#REF!,"AAAAACskt9E=")</f>
        <v>#REF!</v>
      </c>
      <c r="HC3" t="e">
        <f>IF('Strategic Summary'!#REF!,"AAAAACskt9I=",0)</f>
        <v>#REF!</v>
      </c>
      <c r="HD3" t="e">
        <f>AND('Strategic Summary'!#REF!,"AAAAACskt9M=")</f>
        <v>#REF!</v>
      </c>
      <c r="HE3" t="e">
        <f>AND('Strategic Summary'!#REF!,"AAAAACskt9Q=")</f>
        <v>#REF!</v>
      </c>
      <c r="HF3" t="e">
        <f>AND('Strategic Summary'!#REF!,"AAAAACskt9U=")</f>
        <v>#REF!</v>
      </c>
      <c r="HG3" t="e">
        <f>AND('Strategic Summary'!#REF!,"AAAAACskt9Y=")</f>
        <v>#REF!</v>
      </c>
      <c r="HH3" t="e">
        <f>AND('Strategic Summary'!#REF!,"AAAAACskt9c=")</f>
        <v>#REF!</v>
      </c>
      <c r="HI3" t="e">
        <f>AND('Strategic Summary'!#REF!,"AAAAACskt9g=")</f>
        <v>#REF!</v>
      </c>
      <c r="HJ3" t="e">
        <f>AND('Strategic Summary'!#REF!,"AAAAACskt9k=")</f>
        <v>#REF!</v>
      </c>
      <c r="HK3" t="e">
        <f>AND('Strategic Summary'!#REF!,"AAAAACskt9o=")</f>
        <v>#REF!</v>
      </c>
      <c r="HL3" t="e">
        <f>AND('Strategic Summary'!#REF!,"AAAAACskt9s=")</f>
        <v>#REF!</v>
      </c>
      <c r="HM3" t="e">
        <f>AND('Strategic Summary'!#REF!,"AAAAACskt9w=")</f>
        <v>#REF!</v>
      </c>
      <c r="HN3" t="e">
        <f>AND('Strategic Summary'!#REF!,"AAAAACskt90=")</f>
        <v>#REF!</v>
      </c>
      <c r="HO3" t="e">
        <f>AND('Strategic Summary'!#REF!,"AAAAACskt94=")</f>
        <v>#REF!</v>
      </c>
      <c r="HP3" t="e">
        <f>AND('Strategic Summary'!#REF!,"AAAAACskt98=")</f>
        <v>#REF!</v>
      </c>
      <c r="HQ3" t="e">
        <f>AND('Strategic Summary'!#REF!,"AAAAACskt+A=")</f>
        <v>#REF!</v>
      </c>
      <c r="HR3" t="e">
        <f>AND('Strategic Summary'!#REF!,"AAAAACskt+E=")</f>
        <v>#REF!</v>
      </c>
      <c r="HS3" t="e">
        <f>AND('Strategic Summary'!#REF!,"AAAAACskt+I=")</f>
        <v>#REF!</v>
      </c>
      <c r="HT3" t="e">
        <f>AND('Strategic Summary'!#REF!,"AAAAACskt+M=")</f>
        <v>#REF!</v>
      </c>
      <c r="HU3" t="e">
        <f>AND('Strategic Summary'!#REF!,"AAAAACskt+Q=")</f>
        <v>#REF!</v>
      </c>
      <c r="HV3" t="e">
        <f>IF('Strategic Summary'!#REF!,"AAAAACskt+U=",0)</f>
        <v>#REF!</v>
      </c>
      <c r="HW3" t="e">
        <f>AND('Strategic Summary'!#REF!,"AAAAACskt+Y=")</f>
        <v>#REF!</v>
      </c>
      <c r="HX3" t="e">
        <f>AND('Strategic Summary'!#REF!,"AAAAACskt+c=")</f>
        <v>#REF!</v>
      </c>
      <c r="HY3" t="e">
        <f>AND('Strategic Summary'!#REF!,"AAAAACskt+g=")</f>
        <v>#REF!</v>
      </c>
      <c r="HZ3" t="e">
        <f>AND('Strategic Summary'!#REF!,"AAAAACskt+k=")</f>
        <v>#REF!</v>
      </c>
      <c r="IA3" t="e">
        <f>AND('Strategic Summary'!#REF!,"AAAAACskt+o=")</f>
        <v>#REF!</v>
      </c>
      <c r="IB3" t="e">
        <f>AND('Strategic Summary'!#REF!,"AAAAACskt+s=")</f>
        <v>#REF!</v>
      </c>
      <c r="IC3" t="e">
        <f>AND('Strategic Summary'!#REF!,"AAAAACskt+w=")</f>
        <v>#REF!</v>
      </c>
      <c r="ID3" t="e">
        <f>AND('Strategic Summary'!#REF!,"AAAAACskt+0=")</f>
        <v>#REF!</v>
      </c>
      <c r="IE3" t="e">
        <f>AND('Strategic Summary'!#REF!,"AAAAACskt+4=")</f>
        <v>#REF!</v>
      </c>
      <c r="IF3" t="e">
        <f>AND('Strategic Summary'!#REF!,"AAAAACskt+8=")</f>
        <v>#REF!</v>
      </c>
      <c r="IG3" t="e">
        <f>AND('Strategic Summary'!#REF!,"AAAAACskt/A=")</f>
        <v>#REF!</v>
      </c>
      <c r="IH3" t="e">
        <f>AND('Strategic Summary'!#REF!,"AAAAACskt/E=")</f>
        <v>#REF!</v>
      </c>
      <c r="II3" t="e">
        <f>AND('Strategic Summary'!#REF!,"AAAAACskt/I=")</f>
        <v>#REF!</v>
      </c>
      <c r="IJ3" t="e">
        <f>AND('Strategic Summary'!#REF!,"AAAAACskt/M=")</f>
        <v>#REF!</v>
      </c>
      <c r="IK3" t="e">
        <f>AND('Strategic Summary'!#REF!,"AAAAACskt/Q=")</f>
        <v>#REF!</v>
      </c>
      <c r="IL3" t="e">
        <f>AND('Strategic Summary'!#REF!,"AAAAACskt/U=")</f>
        <v>#REF!</v>
      </c>
      <c r="IM3" t="e">
        <f>AND('Strategic Summary'!#REF!,"AAAAACskt/Y=")</f>
        <v>#REF!</v>
      </c>
      <c r="IN3" t="e">
        <f>AND('Strategic Summary'!#REF!,"AAAAACskt/c=")</f>
        <v>#REF!</v>
      </c>
      <c r="IO3" t="e">
        <f>IF('Strategic Summary'!#REF!,"AAAAACskt/g=",0)</f>
        <v>#REF!</v>
      </c>
      <c r="IP3" t="e">
        <f>AND('Strategic Summary'!#REF!,"AAAAACskt/k=")</f>
        <v>#REF!</v>
      </c>
      <c r="IQ3" t="e">
        <f>AND('Strategic Summary'!#REF!,"AAAAACskt/o=")</f>
        <v>#REF!</v>
      </c>
      <c r="IR3" t="e">
        <f>AND('Strategic Summary'!#REF!,"AAAAACskt/s=")</f>
        <v>#REF!</v>
      </c>
      <c r="IS3" t="e">
        <f>AND('Strategic Summary'!#REF!,"AAAAACskt/w=")</f>
        <v>#REF!</v>
      </c>
      <c r="IT3" t="e">
        <f>AND('Strategic Summary'!#REF!,"AAAAACskt/0=")</f>
        <v>#REF!</v>
      </c>
      <c r="IU3" t="e">
        <f>AND('Strategic Summary'!#REF!,"AAAAACskt/4=")</f>
        <v>#REF!</v>
      </c>
      <c r="IV3" t="e">
        <f>AND('Strategic Summary'!#REF!,"AAAAACskt/8=")</f>
        <v>#REF!</v>
      </c>
    </row>
    <row r="4" spans="1:256" ht="12.75" customHeight="1" x14ac:dyDescent="0.2">
      <c r="A4" t="e">
        <f>AND('Strategic Summary'!#REF!,"AAAAAG3v/QA=")</f>
        <v>#REF!</v>
      </c>
      <c r="B4" t="e">
        <f>AND('Strategic Summary'!#REF!,"AAAAAG3v/QE=")</f>
        <v>#REF!</v>
      </c>
      <c r="C4" t="e">
        <f>AND('Strategic Summary'!#REF!,"AAAAAG3v/QI=")</f>
        <v>#REF!</v>
      </c>
      <c r="D4" t="e">
        <f>AND('Strategic Summary'!#REF!,"AAAAAG3v/QM=")</f>
        <v>#REF!</v>
      </c>
      <c r="E4" t="e">
        <f>AND('Strategic Summary'!#REF!,"AAAAAG3v/QQ=")</f>
        <v>#REF!</v>
      </c>
      <c r="F4" t="e">
        <f>AND('Strategic Summary'!#REF!,"AAAAAG3v/QU=")</f>
        <v>#REF!</v>
      </c>
      <c r="G4" t="e">
        <f>AND('Strategic Summary'!#REF!,"AAAAAG3v/QY=")</f>
        <v>#REF!</v>
      </c>
      <c r="H4" t="e">
        <f>AND('Strategic Summary'!#REF!,"AAAAAG3v/Qc=")</f>
        <v>#REF!</v>
      </c>
      <c r="I4" t="e">
        <f>AND('Strategic Summary'!#REF!,"AAAAAG3v/Qg=")</f>
        <v>#REF!</v>
      </c>
      <c r="J4" t="e">
        <f>AND('Strategic Summary'!#REF!,"AAAAAG3v/Qk=")</f>
        <v>#REF!</v>
      </c>
      <c r="K4" t="e">
        <f>AND('Strategic Summary'!#REF!,"AAAAAG3v/Qo=")</f>
        <v>#REF!</v>
      </c>
      <c r="L4" t="e">
        <f>IF('Strategic Summary'!#REF!,"AAAAAG3v/Qs=",0)</f>
        <v>#REF!</v>
      </c>
      <c r="M4" t="e">
        <f>AND('Strategic Summary'!#REF!,"AAAAAG3v/Qw=")</f>
        <v>#REF!</v>
      </c>
      <c r="N4" t="e">
        <f>AND('Strategic Summary'!#REF!,"AAAAAG3v/Q0=")</f>
        <v>#REF!</v>
      </c>
      <c r="O4" t="e">
        <f>AND('Strategic Summary'!#REF!,"AAAAAG3v/Q4=")</f>
        <v>#REF!</v>
      </c>
      <c r="P4" t="e">
        <f>AND('Strategic Summary'!#REF!,"AAAAAG3v/Q8=")</f>
        <v>#REF!</v>
      </c>
      <c r="Q4" t="e">
        <f>AND('Strategic Summary'!#REF!,"AAAAAG3v/RA=")</f>
        <v>#REF!</v>
      </c>
      <c r="R4" t="e">
        <f>AND('Strategic Summary'!#REF!,"AAAAAG3v/RE=")</f>
        <v>#REF!</v>
      </c>
      <c r="S4" t="e">
        <f>AND('Strategic Summary'!#REF!,"AAAAAG3v/RI=")</f>
        <v>#REF!</v>
      </c>
      <c r="T4" t="e">
        <f>AND('Strategic Summary'!#REF!,"AAAAAG3v/RM=")</f>
        <v>#REF!</v>
      </c>
      <c r="U4" t="e">
        <f>AND('Strategic Summary'!#REF!,"AAAAAG3v/RQ=")</f>
        <v>#REF!</v>
      </c>
      <c r="V4" t="e">
        <f>AND('Strategic Summary'!#REF!,"AAAAAG3v/RU=")</f>
        <v>#REF!</v>
      </c>
      <c r="W4" t="e">
        <f>AND('Strategic Summary'!#REF!,"AAAAAG3v/RY=")</f>
        <v>#REF!</v>
      </c>
      <c r="X4" t="e">
        <f>AND('Strategic Summary'!#REF!,"AAAAAG3v/Rc=")</f>
        <v>#REF!</v>
      </c>
      <c r="Y4" t="e">
        <f>AND('Strategic Summary'!#REF!,"AAAAAG3v/Rg=")</f>
        <v>#REF!</v>
      </c>
      <c r="Z4" t="e">
        <f>AND('Strategic Summary'!#REF!,"AAAAAG3v/Rk=")</f>
        <v>#REF!</v>
      </c>
      <c r="AA4" t="e">
        <f>AND('Strategic Summary'!#REF!,"AAAAAG3v/Ro=")</f>
        <v>#REF!</v>
      </c>
      <c r="AB4" t="e">
        <f>AND('Strategic Summary'!#REF!,"AAAAAG3v/Rs=")</f>
        <v>#REF!</v>
      </c>
      <c r="AC4" t="e">
        <f>AND('Strategic Summary'!#REF!,"AAAAAG3v/Rw=")</f>
        <v>#REF!</v>
      </c>
      <c r="AD4" t="e">
        <f>AND('Strategic Summary'!#REF!,"AAAAAG3v/R0=")</f>
        <v>#REF!</v>
      </c>
      <c r="AE4" t="e">
        <f>IF('Strategic Summary'!#REF!,"AAAAAG3v/R4=",0)</f>
        <v>#REF!</v>
      </c>
      <c r="AF4" t="e">
        <f>AND('Strategic Summary'!#REF!,"AAAAAG3v/R8=")</f>
        <v>#REF!</v>
      </c>
      <c r="AG4" t="e">
        <f>AND('Strategic Summary'!#REF!,"AAAAAG3v/SA=")</f>
        <v>#REF!</v>
      </c>
      <c r="AH4" t="e">
        <f>AND('Strategic Summary'!#REF!,"AAAAAG3v/SE=")</f>
        <v>#REF!</v>
      </c>
      <c r="AI4" t="e">
        <f>AND('Strategic Summary'!#REF!,"AAAAAG3v/SI=")</f>
        <v>#REF!</v>
      </c>
      <c r="AJ4" t="e">
        <f>AND('Strategic Summary'!#REF!,"AAAAAG3v/SM=")</f>
        <v>#REF!</v>
      </c>
      <c r="AK4" t="e">
        <f>AND('Strategic Summary'!#REF!,"AAAAAG3v/SQ=")</f>
        <v>#REF!</v>
      </c>
      <c r="AL4" t="e">
        <f>AND('Strategic Summary'!#REF!,"AAAAAG3v/SU=")</f>
        <v>#REF!</v>
      </c>
      <c r="AM4" t="e">
        <f>AND('Strategic Summary'!#REF!,"AAAAAG3v/SY=")</f>
        <v>#REF!</v>
      </c>
      <c r="AN4" t="e">
        <f>AND('Strategic Summary'!#REF!,"AAAAAG3v/Sc=")</f>
        <v>#REF!</v>
      </c>
      <c r="AO4" t="e">
        <f>AND('Strategic Summary'!#REF!,"AAAAAG3v/Sg=")</f>
        <v>#REF!</v>
      </c>
      <c r="AP4" t="e">
        <f>AND('Strategic Summary'!#REF!,"AAAAAG3v/Sk=")</f>
        <v>#REF!</v>
      </c>
      <c r="AQ4" t="e">
        <f>AND('Strategic Summary'!#REF!,"AAAAAG3v/So=")</f>
        <v>#REF!</v>
      </c>
      <c r="AR4" t="e">
        <f>AND('Strategic Summary'!#REF!,"AAAAAG3v/Ss=")</f>
        <v>#REF!</v>
      </c>
      <c r="AS4" t="e">
        <f>AND('Strategic Summary'!#REF!,"AAAAAG3v/Sw=")</f>
        <v>#REF!</v>
      </c>
      <c r="AT4" t="e">
        <f>AND('Strategic Summary'!#REF!,"AAAAAG3v/S0=")</f>
        <v>#REF!</v>
      </c>
      <c r="AU4" t="e">
        <f>AND('Strategic Summary'!#REF!,"AAAAAG3v/S4=")</f>
        <v>#REF!</v>
      </c>
      <c r="AV4" t="e">
        <f>AND('Strategic Summary'!#REF!,"AAAAAG3v/S8=")</f>
        <v>#REF!</v>
      </c>
      <c r="AW4" t="e">
        <f>AND('Strategic Summary'!#REF!,"AAAAAG3v/TA=")</f>
        <v>#REF!</v>
      </c>
      <c r="AX4" t="e">
        <f>IF('Strategic Summary'!#REF!,"AAAAAG3v/TE=",0)</f>
        <v>#REF!</v>
      </c>
      <c r="AY4" t="e">
        <f>AND('Strategic Summary'!#REF!,"AAAAAG3v/TI=")</f>
        <v>#REF!</v>
      </c>
      <c r="AZ4" t="e">
        <f>AND('Strategic Summary'!#REF!,"AAAAAG3v/TM=")</f>
        <v>#REF!</v>
      </c>
      <c r="BA4" t="e">
        <f>AND('Strategic Summary'!#REF!,"AAAAAG3v/TQ=")</f>
        <v>#REF!</v>
      </c>
      <c r="BB4" t="e">
        <f>AND('Strategic Summary'!#REF!,"AAAAAG3v/TU=")</f>
        <v>#REF!</v>
      </c>
      <c r="BC4" t="e">
        <f>AND('Strategic Summary'!#REF!,"AAAAAG3v/TY=")</f>
        <v>#REF!</v>
      </c>
      <c r="BD4" t="e">
        <f>AND('Strategic Summary'!#REF!,"AAAAAG3v/Tc=")</f>
        <v>#REF!</v>
      </c>
      <c r="BE4" t="e">
        <f>AND('Strategic Summary'!#REF!,"AAAAAG3v/Tg=")</f>
        <v>#REF!</v>
      </c>
      <c r="BF4" t="e">
        <f>AND('Strategic Summary'!#REF!,"AAAAAG3v/Tk=")</f>
        <v>#REF!</v>
      </c>
      <c r="BG4" t="e">
        <f>AND('Strategic Summary'!#REF!,"AAAAAG3v/To=")</f>
        <v>#REF!</v>
      </c>
      <c r="BH4" t="e">
        <f>AND('Strategic Summary'!#REF!,"AAAAAG3v/Ts=")</f>
        <v>#REF!</v>
      </c>
      <c r="BI4" t="e">
        <f>AND('Strategic Summary'!#REF!,"AAAAAG3v/Tw=")</f>
        <v>#REF!</v>
      </c>
      <c r="BJ4" t="e">
        <f>AND('Strategic Summary'!#REF!,"AAAAAG3v/T0=")</f>
        <v>#REF!</v>
      </c>
      <c r="BK4" t="e">
        <f>AND('Strategic Summary'!#REF!,"AAAAAG3v/T4=")</f>
        <v>#REF!</v>
      </c>
      <c r="BL4" t="e">
        <f>AND('Strategic Summary'!#REF!,"AAAAAG3v/T8=")</f>
        <v>#REF!</v>
      </c>
      <c r="BM4" t="e">
        <f>AND('Strategic Summary'!#REF!,"AAAAAG3v/UA=")</f>
        <v>#REF!</v>
      </c>
      <c r="BN4" t="e">
        <f>AND('Strategic Summary'!#REF!,"AAAAAG3v/UE=")</f>
        <v>#REF!</v>
      </c>
      <c r="BO4" t="e">
        <f>AND('Strategic Summary'!#REF!,"AAAAAG3v/UI=")</f>
        <v>#REF!</v>
      </c>
      <c r="BP4" t="e">
        <f>AND('Strategic Summary'!#REF!,"AAAAAG3v/UM=")</f>
        <v>#REF!</v>
      </c>
      <c r="BQ4" t="e">
        <f>IF('Strategic Summary'!#REF!,"AAAAAG3v/UQ=",0)</f>
        <v>#REF!</v>
      </c>
      <c r="BR4" t="e">
        <f>AND('Strategic Summary'!#REF!,"AAAAAG3v/UU=")</f>
        <v>#REF!</v>
      </c>
      <c r="BS4" t="e">
        <f>AND('Strategic Summary'!#REF!,"AAAAAG3v/UY=")</f>
        <v>#REF!</v>
      </c>
      <c r="BT4" t="e">
        <f>AND('Strategic Summary'!#REF!,"AAAAAG3v/Uc=")</f>
        <v>#REF!</v>
      </c>
      <c r="BU4" t="e">
        <f>AND('Strategic Summary'!#REF!,"AAAAAG3v/Ug=")</f>
        <v>#REF!</v>
      </c>
      <c r="BV4" t="e">
        <f>AND('Strategic Summary'!#REF!,"AAAAAG3v/Uk=")</f>
        <v>#REF!</v>
      </c>
      <c r="BW4" t="e">
        <f>AND('Strategic Summary'!#REF!,"AAAAAG3v/Uo=")</f>
        <v>#REF!</v>
      </c>
      <c r="BX4" t="e">
        <f>AND('Strategic Summary'!#REF!,"AAAAAG3v/Us=")</f>
        <v>#REF!</v>
      </c>
      <c r="BY4" t="e">
        <f>AND('Strategic Summary'!#REF!,"AAAAAG3v/Uw=")</f>
        <v>#REF!</v>
      </c>
      <c r="BZ4" t="e">
        <f>AND('Strategic Summary'!#REF!,"AAAAAG3v/U0=")</f>
        <v>#REF!</v>
      </c>
      <c r="CA4" t="e">
        <f>AND('Strategic Summary'!#REF!,"AAAAAG3v/U4=")</f>
        <v>#REF!</v>
      </c>
      <c r="CB4" t="e">
        <f>AND('Strategic Summary'!#REF!,"AAAAAG3v/U8=")</f>
        <v>#REF!</v>
      </c>
      <c r="CC4" t="e">
        <f>AND('Strategic Summary'!#REF!,"AAAAAG3v/VA=")</f>
        <v>#REF!</v>
      </c>
      <c r="CD4" t="e">
        <f>AND('Strategic Summary'!#REF!,"AAAAAG3v/VE=")</f>
        <v>#REF!</v>
      </c>
      <c r="CE4" t="e">
        <f>AND('Strategic Summary'!#REF!,"AAAAAG3v/VI=")</f>
        <v>#REF!</v>
      </c>
      <c r="CF4" t="e">
        <f>AND('Strategic Summary'!#REF!,"AAAAAG3v/VM=")</f>
        <v>#REF!</v>
      </c>
      <c r="CG4" t="e">
        <f>AND('Strategic Summary'!#REF!,"AAAAAG3v/VQ=")</f>
        <v>#REF!</v>
      </c>
      <c r="CH4" t="e">
        <f>AND('Strategic Summary'!#REF!,"AAAAAG3v/VU=")</f>
        <v>#REF!</v>
      </c>
      <c r="CI4" t="e">
        <f>AND('Strategic Summary'!#REF!,"AAAAAG3v/VY=")</f>
        <v>#REF!</v>
      </c>
      <c r="CJ4" t="e">
        <f>IF('Strategic Summary'!#REF!,"AAAAAG3v/Vc=",0)</f>
        <v>#REF!</v>
      </c>
      <c r="CK4" t="e">
        <f>AND('Strategic Summary'!#REF!,"AAAAAG3v/Vg=")</f>
        <v>#REF!</v>
      </c>
      <c r="CL4" t="e">
        <f>AND('Strategic Summary'!#REF!,"AAAAAG3v/Vk=")</f>
        <v>#REF!</v>
      </c>
      <c r="CM4" t="e">
        <f>AND('Strategic Summary'!#REF!,"AAAAAG3v/Vo=")</f>
        <v>#REF!</v>
      </c>
      <c r="CN4" t="e">
        <f>AND('Strategic Summary'!#REF!,"AAAAAG3v/Vs=")</f>
        <v>#REF!</v>
      </c>
      <c r="CO4" t="e">
        <f>AND('Strategic Summary'!#REF!,"AAAAAG3v/Vw=")</f>
        <v>#REF!</v>
      </c>
      <c r="CP4" t="e">
        <f>AND('Strategic Summary'!#REF!,"AAAAAG3v/V0=")</f>
        <v>#REF!</v>
      </c>
      <c r="CQ4" t="e">
        <f>AND('Strategic Summary'!#REF!,"AAAAAG3v/V4=")</f>
        <v>#REF!</v>
      </c>
      <c r="CR4" t="e">
        <f>AND('Strategic Summary'!#REF!,"AAAAAG3v/V8=")</f>
        <v>#REF!</v>
      </c>
      <c r="CS4" t="e">
        <f>AND('Strategic Summary'!#REF!,"AAAAAG3v/WA=")</f>
        <v>#REF!</v>
      </c>
      <c r="CT4" t="e">
        <f>AND('Strategic Summary'!#REF!,"AAAAAG3v/WE=")</f>
        <v>#REF!</v>
      </c>
      <c r="CU4" t="e">
        <f>AND('Strategic Summary'!#REF!,"AAAAAG3v/WI=")</f>
        <v>#REF!</v>
      </c>
      <c r="CV4" t="e">
        <f>AND('Strategic Summary'!#REF!,"AAAAAG3v/WM=")</f>
        <v>#REF!</v>
      </c>
      <c r="CW4" t="e">
        <f>AND('Strategic Summary'!#REF!,"AAAAAG3v/WQ=")</f>
        <v>#REF!</v>
      </c>
      <c r="CX4" t="e">
        <f>AND('Strategic Summary'!#REF!,"AAAAAG3v/WU=")</f>
        <v>#REF!</v>
      </c>
      <c r="CY4" t="e">
        <f>AND('Strategic Summary'!#REF!,"AAAAAG3v/WY=")</f>
        <v>#REF!</v>
      </c>
      <c r="CZ4" t="e">
        <f>AND('Strategic Summary'!#REF!,"AAAAAG3v/Wc=")</f>
        <v>#REF!</v>
      </c>
      <c r="DA4" t="e">
        <f>AND('Strategic Summary'!#REF!,"AAAAAG3v/Wg=")</f>
        <v>#REF!</v>
      </c>
      <c r="DB4" t="e">
        <f>AND('Strategic Summary'!#REF!,"AAAAAG3v/Wk=")</f>
        <v>#REF!</v>
      </c>
      <c r="DC4" t="e">
        <f>IF('Strategic Summary'!#REF!,"AAAAAG3v/Wo=",0)</f>
        <v>#REF!</v>
      </c>
      <c r="DD4" t="e">
        <f>IF('Strategic Summary'!A:A,"AAAAAG3v/Ws=",0)</f>
        <v>#VALUE!</v>
      </c>
      <c r="DE4">
        <f>IF('Strategic Summary'!B:B,"AAAAAG3v/Ww=",0)</f>
        <v>0</v>
      </c>
      <c r="DF4">
        <f>IF('Strategic Summary'!C:C,"AAAAAG3v/W0=",0)</f>
        <v>0</v>
      </c>
      <c r="DG4">
        <f>IF('Strategic Summary'!D:D,"AAAAAG3v/W4=",0)</f>
        <v>0</v>
      </c>
      <c r="DH4">
        <f>IF('Strategic Summary'!E:E,"AAAAAG3v/W8=",0)</f>
        <v>0</v>
      </c>
      <c r="DI4">
        <f>IF('Strategic Summary'!F:F,"AAAAAG3v/XA=",0)</f>
        <v>0</v>
      </c>
      <c r="DJ4">
        <f>IF('Strategic Summary'!G:G,"AAAAAG3v/XE=",0)</f>
        <v>0</v>
      </c>
      <c r="DK4">
        <f>IF('Strategic Summary'!H:H,"AAAAAG3v/XI=",0)</f>
        <v>0</v>
      </c>
      <c r="DL4">
        <f>IF('Strategic Summary'!I:I,"AAAAAG3v/XM=",0)</f>
        <v>0</v>
      </c>
      <c r="DM4">
        <f>IF('Strategic Summary'!J:J,"AAAAAG3v/XQ=",0)</f>
        <v>0</v>
      </c>
      <c r="DN4">
        <f>IF('Strategic Summary'!K:K,"AAAAAG3v/XU=",0)</f>
        <v>0</v>
      </c>
      <c r="DO4">
        <f>IF('Strategic Summary'!L:L,"AAAAAG3v/XY=",0)</f>
        <v>0</v>
      </c>
      <c r="DP4">
        <f>IF('Strategic Summary'!M:M,"AAAAAG3v/Xc=",0)</f>
        <v>0</v>
      </c>
      <c r="DQ4">
        <f>IF('Strategic Summary'!N:N,"AAAAAG3v/Xg=",0)</f>
        <v>0</v>
      </c>
      <c r="DR4">
        <f>IF('Strategic Summary'!O:O,"AAAAAG3v/Xk=",0)</f>
        <v>0</v>
      </c>
      <c r="DS4">
        <f>IF('Strategic Summary'!P:P,"AAAAAG3v/Xo=",0)</f>
        <v>0</v>
      </c>
      <c r="DT4">
        <f>IF('Strategic Summary'!Q:Q,"AAAAAG3v/Xs=",0)</f>
        <v>0</v>
      </c>
      <c r="DU4">
        <f>IF('Strategic Summary'!R:R,"AAAAAG3v/Xw=",0)</f>
        <v>0</v>
      </c>
      <c r="DV4" t="s">
        <v>39</v>
      </c>
      <c r="DW4" t="e">
        <f>IF("N",EMPLYEE,"AAAAAG3v/X4=")</f>
        <v>#VALUE!</v>
      </c>
      <c r="DX4" t="e">
        <f>IF("N",hhh,"AAAAAG3v/X8=")</f>
        <v>#VALUE!</v>
      </c>
      <c r="DY4" t="e">
        <f>IF("N",HLIA2,"AAAAAG3v/YA=")</f>
        <v>#VALUE!</v>
      </c>
      <c r="DZ4" t="e">
        <f>IF("N",HLIA22,"AAAAAG3v/YE=")</f>
        <v>#VALUE!</v>
      </c>
      <c r="EA4" t="e">
        <f>IF("N",HLIA3,"AAAAAG3v/YI=")</f>
        <v>#VALUE!</v>
      </c>
      <c r="EB4" t="e">
        <f>IF("N",HTML_CodePage,"AAAAAG3v/YM=")</f>
        <v>#VALUE!</v>
      </c>
      <c r="EC4" t="e">
        <f>IF("N",HTML_Control,"AAAAAG3v/YQ=")</f>
        <v>#VALUE!</v>
      </c>
      <c r="ED4" t="e">
        <f>IF("N",HTML_Description,"AAAAAG3v/YU=")</f>
        <v>#VALUE!</v>
      </c>
      <c r="EE4" t="e">
        <f>IF("N",HTML_Email,"AAAAAG3v/YY=")</f>
        <v>#VALUE!</v>
      </c>
      <c r="EF4" t="e">
        <f>IF("N",HTML_Header,"AAAAAG3v/Yc=")</f>
        <v>#VALUE!</v>
      </c>
      <c r="EG4" t="e">
        <f>IF("N",HTML_LastUpdate,"AAAAAG3v/Yg=")</f>
        <v>#VALUE!</v>
      </c>
      <c r="EH4" t="e">
        <f>IF("N",HTML_LineAfter,"AAAAAG3v/Yk=")</f>
        <v>#VALUE!</v>
      </c>
      <c r="EI4" t="e">
        <f>IF("N",HTML_LineBefore,"AAAAAG3v/Yo=")</f>
        <v>#VALUE!</v>
      </c>
      <c r="EJ4" t="e">
        <f>IF("N",HTML_Name,"AAAAAG3v/Ys=")</f>
        <v>#VALUE!</v>
      </c>
      <c r="EK4" t="e">
        <f>IF("N",HTML_OBDlg2,"AAAAAG3v/Yw=")</f>
        <v>#VALUE!</v>
      </c>
      <c r="EL4" t="e">
        <f>IF("N",HTML_OBDlg4,"AAAAAG3v/Y0=")</f>
        <v>#VALUE!</v>
      </c>
      <c r="EM4" t="e">
        <f>IF("N",HTML_OS,"AAAAAG3v/Y4=")</f>
        <v>#VALUE!</v>
      </c>
      <c r="EN4" t="e">
        <f>IF("N",HTML_PathFile,"AAAAAG3v/Y8=")</f>
        <v>#VALUE!</v>
      </c>
      <c r="EO4" t="e">
        <f>IF("N",HTML_Title,"AAAAAG3v/ZA=")</f>
        <v>#VALUE!</v>
      </c>
      <c r="EP4" t="e">
        <f>IF("N",KPMEMPLO,"AAAAAG3v/ZE=")</f>
        <v>#VALUE!</v>
      </c>
      <c r="EQ4" t="e">
        <f>IF("N",New,"AAAAAG3v/ZI=")</f>
        <v>#VALUE!</v>
      </c>
      <c r="ER4" t="e">
        <f>IF("N",NEW2,"AAAAAG3v/ZM=")</f>
        <v>#VALUE!</v>
      </c>
      <c r="ES4" t="e">
        <f>IF("N",NEW3,"AAAAAG3v/ZQ=")</f>
        <v>#VALUE!</v>
      </c>
      <c r="ET4" t="e">
        <f>IF("N",NEW4,"AAAAAG3v/ZU=")</f>
        <v>#VALUE!</v>
      </c>
      <c r="EU4" t="e">
        <f>IF("N",NEW5,"AAAAAG3v/ZY=")</f>
        <v>#VALUE!</v>
      </c>
      <c r="EV4" t="e">
        <f>IF("N",NEW6,"AAAAAG3v/Zc=")</f>
        <v>#VALUE!</v>
      </c>
      <c r="EW4" t="e">
        <f>IF("N",old,"AAAAAG3v/Zg=")</f>
        <v>#VALUE!</v>
      </c>
      <c r="EX4" t="e">
        <f>IF("N",OLD2,"AAAAAG3v/Zk=")</f>
        <v>#VALUE!</v>
      </c>
      <c r="EY4" t="e">
        <f>IF("N",OLD4,"AAAAAG3v/Zo=")</f>
        <v>#VALUE!</v>
      </c>
      <c r="EZ4" t="e">
        <f>IF("N",OPERATIONS,"AAAAAG3v/Zs=")</f>
        <v>#VALUE!</v>
      </c>
      <c r="FA4" t="e">
        <f>IF("N",_xlnm.Print_Area,"AAAAAG3v/Zw=")</f>
        <v>#VALUE!</v>
      </c>
      <c r="FB4" t="e">
        <f>IF("N",_xlnm.Print_Titles,"AAAAAG3v/Z0=")</f>
        <v>#VALUE!</v>
      </c>
      <c r="FC4" t="e">
        <f>IF("N",sherry,"AAAAAG3v/Z4=")</f>
        <v>#VALUE!</v>
      </c>
      <c r="FD4" t="e">
        <f>IF("N",Strat6,"AAAAAG3v/Z8=")</f>
        <v>#VALUE!</v>
      </c>
      <c r="FE4" t="e">
        <f>IF("N",Strat9.4,"AAAAAG3v/aA=")</f>
        <v>#VALUE!</v>
      </c>
      <c r="FF4" t="e">
        <f>IF("N",Strat9.5,"AAAAAG3v/aE=")</f>
        <v>#VALUE!</v>
      </c>
      <c r="FG4" t="e">
        <f>IF("N",Strat9.6,"AAAAAG3v/aI=")</f>
        <v>#VALUE!</v>
      </c>
      <c r="FH4" t="e">
        <f>IF("N",Strat9.7,"AAAAAG3v/aM=")</f>
        <v>#VALUE!</v>
      </c>
      <c r="FI4" t="e">
        <f>IF("N",Strat97,"AAAAAG3v/aQ=")</f>
        <v>#VALUE!</v>
      </c>
      <c r="FJ4" t="e">
        <f>IF("N",Strategy9.7,"AAAAAG3v/aU=")</f>
        <v>#VALUE!</v>
      </c>
    </row>
    <row r="5" spans="1:256" ht="12.75" customHeight="1" x14ac:dyDescent="0.2"/>
    <row r="6" spans="1:256" ht="12.75" customHeight="1" x14ac:dyDescent="0.2"/>
    <row r="7" spans="1:256" ht="12.75" customHeight="1" x14ac:dyDescent="0.2"/>
    <row r="8" spans="1:256" ht="12.75" customHeight="1" x14ac:dyDescent="0.2"/>
    <row r="9" spans="1:256" ht="12.75" customHeight="1" x14ac:dyDescent="0.2"/>
    <row r="10" spans="1:256" ht="12.75" customHeight="1" x14ac:dyDescent="0.2"/>
    <row r="11" spans="1:256" ht="12.75" customHeight="1" x14ac:dyDescent="0.2"/>
    <row r="12" spans="1:256" ht="12.75" customHeight="1" x14ac:dyDescent="0.2"/>
    <row r="13" spans="1:256" ht="12.75" customHeight="1" x14ac:dyDescent="0.2"/>
    <row r="14" spans="1:256" ht="12.75" customHeight="1" x14ac:dyDescent="0.2"/>
    <row r="15" spans="1:256" ht="12.75" customHeight="1" x14ac:dyDescent="0.2"/>
    <row r="16" spans="1:25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0BCE0-B63D-4C4A-AFCF-51178F809880}">
  <dimension ref="A1:AA19"/>
  <sheetViews>
    <sheetView workbookViewId="0">
      <selection activeCell="B10" sqref="B10:E10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47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48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49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9"/>
  <sheetViews>
    <sheetView workbookViewId="0">
      <selection activeCell="O14" sqref="O14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65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66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67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1D275-4327-49FD-9DED-47D54DA7E445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C9C3-6ED0-474D-83A5-237A55343B62}">
  <dimension ref="A1:AA19"/>
  <sheetViews>
    <sheetView workbookViewId="0">
      <selection activeCell="B11" sqref="B11:E11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65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66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67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EFCF4-DF61-49B4-9D32-B5934616C618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68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69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70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8212E-5C49-4CF2-847B-0D893AEB2FEA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71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72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73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C2839-8CFF-4882-AB30-1A8FA0409441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74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75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76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CC14E-EC98-4B8D-BBBA-294907E75312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77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78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79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9AEF-4621-4203-8397-0E47A8BC37A1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80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81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82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46C87-F711-4519-BCF3-5F39C64F3E4D}">
  <dimension ref="A1:AA19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.85546875" customWidth="1"/>
    <col min="2" max="4" width="9.140625" customWidth="1"/>
    <col min="5" max="5" width="19.42578125" customWidth="1"/>
    <col min="6" max="6" width="9.28515625" customWidth="1"/>
    <col min="7" max="13" width="9.140625" customWidth="1"/>
    <col min="14" max="14" width="13.28515625" customWidth="1"/>
    <col min="15" max="15" width="9.140625" customWidth="1"/>
    <col min="16" max="16" width="18.28515625" customWidth="1"/>
    <col min="17" max="27" width="9.140625" customWidth="1"/>
  </cols>
  <sheetData>
    <row r="1" spans="1:27" ht="15.75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4" customHeight="1" thickBot="1" x14ac:dyDescent="0.3">
      <c r="A2" s="5" t="s">
        <v>2</v>
      </c>
      <c r="B2" s="146" t="s">
        <v>3</v>
      </c>
      <c r="C2" s="147"/>
      <c r="D2" s="147"/>
      <c r="E2" s="147"/>
      <c r="F2" s="148" t="s">
        <v>0</v>
      </c>
      <c r="G2" s="147"/>
      <c r="H2" s="149" t="s">
        <v>1</v>
      </c>
      <c r="I2" s="150"/>
      <c r="J2" s="150"/>
      <c r="K2" s="148" t="s">
        <v>4</v>
      </c>
      <c r="L2" s="147"/>
      <c r="M2" s="151"/>
      <c r="N2" s="6" t="s">
        <v>5</v>
      </c>
      <c r="O2" s="152" t="s">
        <v>6</v>
      </c>
      <c r="P2" s="151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thickBot="1" x14ac:dyDescent="0.25">
      <c r="A3" s="27"/>
      <c r="B3" s="63"/>
      <c r="C3" s="64"/>
      <c r="D3" s="64"/>
      <c r="E3" s="65"/>
      <c r="F3" s="66"/>
      <c r="G3" s="65"/>
      <c r="H3" s="67"/>
      <c r="I3" s="64"/>
      <c r="J3" s="65"/>
      <c r="K3" s="67"/>
      <c r="L3" s="64"/>
      <c r="M3" s="65"/>
      <c r="N3" s="8"/>
      <c r="O3" s="153"/>
      <c r="P3" s="78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7.5" customHeight="1" thickBot="1" x14ac:dyDescent="0.25">
      <c r="A4" s="10"/>
      <c r="B4" s="136"/>
      <c r="C4" s="137"/>
      <c r="D4" s="137"/>
      <c r="E4" s="137"/>
      <c r="F4" s="138"/>
      <c r="G4" s="137"/>
      <c r="H4" s="139"/>
      <c r="I4" s="140"/>
      <c r="J4" s="140"/>
      <c r="K4" s="141"/>
      <c r="L4" s="137"/>
      <c r="M4" s="137"/>
      <c r="N4" s="3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25">
      <c r="A5" s="60" t="s">
        <v>2</v>
      </c>
      <c r="B5" s="142" t="s">
        <v>8</v>
      </c>
      <c r="C5" s="143"/>
      <c r="D5" s="143"/>
      <c r="E5" s="144"/>
      <c r="F5" s="145" t="s">
        <v>0</v>
      </c>
      <c r="G5" s="144"/>
      <c r="H5" s="145" t="s">
        <v>9</v>
      </c>
      <c r="I5" s="143"/>
      <c r="J5" s="144"/>
      <c r="K5" s="145" t="s">
        <v>4</v>
      </c>
      <c r="L5" s="143"/>
      <c r="M5" s="144"/>
      <c r="N5" s="6" t="s">
        <v>5</v>
      </c>
      <c r="O5" s="135" t="s">
        <v>6</v>
      </c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 x14ac:dyDescent="0.2">
      <c r="A6" s="26" t="s">
        <v>36</v>
      </c>
      <c r="B6" s="129" t="s">
        <v>10</v>
      </c>
      <c r="C6" s="92"/>
      <c r="D6" s="92"/>
      <c r="E6" s="78"/>
      <c r="F6" s="130" t="s">
        <v>0</v>
      </c>
      <c r="G6" s="78"/>
      <c r="H6" s="131" t="s">
        <v>11</v>
      </c>
      <c r="I6" s="92"/>
      <c r="J6" s="78"/>
      <c r="K6" s="131"/>
      <c r="L6" s="92"/>
      <c r="M6" s="78"/>
      <c r="N6" s="13"/>
      <c r="O6" s="131"/>
      <c r="P6" s="7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">
      <c r="A7" s="26" t="s">
        <v>37</v>
      </c>
      <c r="B7" s="129" t="s">
        <v>12</v>
      </c>
      <c r="C7" s="92"/>
      <c r="D7" s="92"/>
      <c r="E7" s="78"/>
      <c r="F7" s="130" t="s">
        <v>0</v>
      </c>
      <c r="G7" s="78"/>
      <c r="H7" s="131" t="s">
        <v>11</v>
      </c>
      <c r="I7" s="92"/>
      <c r="J7" s="78"/>
      <c r="K7" s="131"/>
      <c r="L7" s="92"/>
      <c r="M7" s="78"/>
      <c r="N7" s="13"/>
      <c r="O7" s="131"/>
      <c r="P7" s="78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">
      <c r="A8" s="26" t="s">
        <v>38</v>
      </c>
      <c r="B8" s="129" t="s">
        <v>13</v>
      </c>
      <c r="C8" s="92"/>
      <c r="D8" s="92"/>
      <c r="E8" s="78"/>
      <c r="F8" s="130" t="s">
        <v>0</v>
      </c>
      <c r="G8" s="78"/>
      <c r="H8" s="131" t="s">
        <v>11</v>
      </c>
      <c r="I8" s="92"/>
      <c r="J8" s="78"/>
      <c r="K8" s="132"/>
      <c r="L8" s="92"/>
      <c r="M8" s="78"/>
      <c r="N8" s="13"/>
      <c r="O8" s="133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">
      <c r="A9" s="12"/>
      <c r="B9" s="129"/>
      <c r="C9" s="92"/>
      <c r="D9" s="92"/>
      <c r="E9" s="78"/>
      <c r="F9" s="130"/>
      <c r="G9" s="78"/>
      <c r="H9" s="131"/>
      <c r="I9" s="92"/>
      <c r="J9" s="78"/>
      <c r="K9" s="132"/>
      <c r="L9" s="92"/>
      <c r="M9" s="78"/>
      <c r="N9" s="13"/>
      <c r="O9" s="133"/>
      <c r="P9" s="78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2"/>
      <c r="B10" s="129"/>
      <c r="C10" s="92"/>
      <c r="D10" s="92"/>
      <c r="E10" s="78"/>
      <c r="F10" s="130"/>
      <c r="G10" s="78"/>
      <c r="H10" s="131"/>
      <c r="I10" s="92"/>
      <c r="J10" s="78"/>
      <c r="K10" s="134"/>
      <c r="L10" s="92"/>
      <c r="M10" s="78"/>
      <c r="N10" s="13"/>
      <c r="O10" s="131"/>
      <c r="P10" s="78"/>
      <c r="Q10" s="4" t="s">
        <v>14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12"/>
      <c r="B11" s="129"/>
      <c r="C11" s="92"/>
      <c r="D11" s="92"/>
      <c r="E11" s="78"/>
      <c r="F11" s="130"/>
      <c r="G11" s="78"/>
      <c r="H11" s="131"/>
      <c r="I11" s="92"/>
      <c r="J11" s="78"/>
      <c r="K11" s="132"/>
      <c r="L11" s="92"/>
      <c r="M11" s="78"/>
      <c r="N11" s="13"/>
      <c r="O11" s="133"/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mergeCells count="49">
    <mergeCell ref="B3:E3"/>
    <mergeCell ref="F3:G3"/>
    <mergeCell ref="H3:J3"/>
    <mergeCell ref="K3:M3"/>
    <mergeCell ref="O3:P3"/>
    <mergeCell ref="B2:E2"/>
    <mergeCell ref="F2:G2"/>
    <mergeCell ref="H2:J2"/>
    <mergeCell ref="K2:M2"/>
    <mergeCell ref="O2:P2"/>
    <mergeCell ref="B4:E4"/>
    <mergeCell ref="F4:G4"/>
    <mergeCell ref="H4:J4"/>
    <mergeCell ref="K4:M4"/>
    <mergeCell ref="B5:E5"/>
    <mergeCell ref="F5:G5"/>
    <mergeCell ref="H5:J5"/>
    <mergeCell ref="K5:M5"/>
    <mergeCell ref="O5:P5"/>
    <mergeCell ref="B6:E6"/>
    <mergeCell ref="F6:G6"/>
    <mergeCell ref="H6:J6"/>
    <mergeCell ref="K6:M6"/>
    <mergeCell ref="O6:P6"/>
    <mergeCell ref="B8:E8"/>
    <mergeCell ref="F8:G8"/>
    <mergeCell ref="H8:J8"/>
    <mergeCell ref="K8:M8"/>
    <mergeCell ref="O8:P8"/>
    <mergeCell ref="B7:E7"/>
    <mergeCell ref="F7:G7"/>
    <mergeCell ref="H7:J7"/>
    <mergeCell ref="K7:M7"/>
    <mergeCell ref="O7:P7"/>
    <mergeCell ref="B10:E10"/>
    <mergeCell ref="F10:G10"/>
    <mergeCell ref="H10:J10"/>
    <mergeCell ref="K10:M10"/>
    <mergeCell ref="O10:P10"/>
    <mergeCell ref="B9:E9"/>
    <mergeCell ref="F9:G9"/>
    <mergeCell ref="H9:J9"/>
    <mergeCell ref="K9:M9"/>
    <mergeCell ref="O9:P9"/>
    <mergeCell ref="B11:E11"/>
    <mergeCell ref="F11:G11"/>
    <mergeCell ref="H11:J11"/>
    <mergeCell ref="K11:M11"/>
    <mergeCell ref="O11:P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Strategic Summary</vt:lpstr>
      <vt:lpstr>DV-IDENTITY-0</vt:lpstr>
      <vt:lpstr>TAP 1.1</vt:lpstr>
      <vt:lpstr>TAP 1.2</vt:lpstr>
      <vt:lpstr>TAP 1.3</vt:lpstr>
      <vt:lpstr>TAP 2.1</vt:lpstr>
      <vt:lpstr>TAP 2.2</vt:lpstr>
      <vt:lpstr>TAP 2.3</vt:lpstr>
      <vt:lpstr>TAP 3.1</vt:lpstr>
      <vt:lpstr>TAP 3.2</vt:lpstr>
      <vt:lpstr>TAP 3.3</vt:lpstr>
      <vt:lpstr>TAP 4.1</vt:lpstr>
      <vt:lpstr>TAP 4.2</vt:lpstr>
      <vt:lpstr>TAP 4.3</vt:lpstr>
      <vt:lpstr>TAP 5.1</vt:lpstr>
      <vt:lpstr>TAP 5.2</vt:lpstr>
      <vt:lpstr>TAP 5.3</vt:lpstr>
      <vt:lpstr>TAP 6.1</vt:lpstr>
      <vt:lpstr>TAP 6.2</vt:lpstr>
      <vt:lpstr>TAP 6.3</vt:lpstr>
      <vt:lpstr>Tap Template</vt:lpstr>
      <vt:lpstr>Sheet30</vt:lpstr>
      <vt:lpstr>'Strategic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Deroin</dc:creator>
  <cp:lastModifiedBy>Jennifer Deroin</cp:lastModifiedBy>
  <cp:lastPrinted>2018-10-08T21:52:55Z</cp:lastPrinted>
  <dcterms:created xsi:type="dcterms:W3CDTF">2018-03-17T15:38:51Z</dcterms:created>
  <dcterms:modified xsi:type="dcterms:W3CDTF">2019-03-07T03:32:57Z</dcterms:modified>
</cp:coreProperties>
</file>